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 codeName="{B6124F1A-AFFB-F854-7757-9A1D4C6FC43C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75f2fe6aa16a801/Bureau/D2F ^0 D1M Manche 2 - Le Puy en Velay/D1M/"/>
    </mc:Choice>
  </mc:AlternateContent>
  <xr:revisionPtr revIDLastSave="1" documentId="8_{DE3EEE8E-888B-47DC-AC3E-F7CE5F841481}" xr6:coauthVersionLast="47" xr6:coauthVersionMax="47" xr10:uidLastSave="{C1759B76-D07E-406B-9FBD-6893E0ECFD3F}"/>
  <bookViews>
    <workbookView xWindow="-108" yWindow="-108" windowWidth="23256" windowHeight="12576" activeTab="3" xr2:uid="{00000000-000D-0000-FFFF-FFFF00000000}"/>
  </bookViews>
  <sheets>
    <sheet name="Fiche de renseignements compéti" sheetId="16" r:id="rId1"/>
    <sheet name="grille" sheetId="9" r:id="rId2"/>
    <sheet name="poules" sheetId="1" r:id="rId3"/>
    <sheet name="Classement" sheetId="14" r:id="rId4"/>
    <sheet name="Arbitres" sheetId="18" r:id="rId5"/>
  </sheets>
  <functionGroups builtInGroupCount="19"/>
  <definedNames>
    <definedName name="_PA1">'Fiche de renseignements compéti'!$B$16</definedName>
    <definedName name="_PA3">'Fiche de renseignements compéti'!$B$17</definedName>
    <definedName name="_PA5">'Fiche de renseignements compéti'!$B$18</definedName>
    <definedName name="_PA7">'Fiche de renseignements compéti'!$B$19</definedName>
    <definedName name="_PA9">'Fiche de renseignements compéti'!$B$20</definedName>
    <definedName name="_PB10">'Fiche de renseignements compéti'!$B$27</definedName>
    <definedName name="_PB2">'Fiche de renseignements compéti'!$B$23</definedName>
    <definedName name="_PB4">'Fiche de renseignements compéti'!$B$24</definedName>
    <definedName name="_PB6">'Fiche de renseignements compéti'!$B$25</definedName>
    <definedName name="_PB8">'Fiche de renseignements compéti'!$B$26</definedName>
    <definedName name="Aquatique">grille!$N$9:$O$45</definedName>
    <definedName name="catégorie">'Fiche de renseignements compéti'!$C$5</definedName>
    <definedName name="date">'Fiche de renseignements compéti'!$C$6</definedName>
    <definedName name="durée1">'Fiche de renseignements compéti'!$C$9</definedName>
    <definedName name="durée2">'Fiche de renseignements compéti'!$C$11</definedName>
    <definedName name="edurée1">'Fiche de renseignements compéti'!$C$8</definedName>
    <definedName name="edurée2">'Fiche de renseignements compéti'!$C$10</definedName>
    <definedName name="HoraireMatchJ1">'Fiche de renseignements compéti'!$C$12</definedName>
    <definedName name="HoraireMatchJ2">'Fiche de renseignements compéti'!$C$13</definedName>
    <definedName name="_xlnm.Print_Titles" localSheetId="1">grille!$1:$8</definedName>
    <definedName name="lieu">'Fiche de renseignements compéti'!$C$7</definedName>
    <definedName name="NombreMatchsPauseRepas">'Fiche de renseignements compéti'!$D$31</definedName>
    <definedName name="P1A">poules!$H$27</definedName>
    <definedName name="P1B">poules!$H$32</definedName>
    <definedName name="P2A">poules!$C$31</definedName>
    <definedName name="P2B">poules!$C$28</definedName>
    <definedName name="P3A">poules!$C$27</definedName>
    <definedName name="P3B">poules!$C$32</definedName>
    <definedName name="P4A">poules!$M$24</definedName>
    <definedName name="P4B">poules!$E$23</definedName>
    <definedName name="P5A">poules!$E$24</definedName>
    <definedName name="P5B">poules!$M$23</definedName>
    <definedName name="Principal">grille!$M$9:$M$45</definedName>
    <definedName name="saison">'Fiche de renseignements compéti'!$C$4</definedName>
    <definedName name="_xlnm.Print_Area" localSheetId="1">grille!$A$1:$R$47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9" l="1"/>
  <c r="F10" i="18" l="1"/>
  <c r="E10" i="18"/>
  <c r="F5" i="18"/>
  <c r="E5" i="18"/>
  <c r="F2" i="18"/>
  <c r="E2" i="18"/>
  <c r="F4" i="18"/>
  <c r="E4" i="18"/>
  <c r="F3" i="18"/>
  <c r="E3" i="18"/>
  <c r="F6" i="18"/>
  <c r="E6" i="18"/>
  <c r="F9" i="18"/>
  <c r="E9" i="18"/>
  <c r="F8" i="18"/>
  <c r="E8" i="18"/>
  <c r="F7" i="18"/>
  <c r="E7" i="18"/>
  <c r="Q50" i="1"/>
  <c r="Q49" i="1"/>
  <c r="I50" i="1"/>
  <c r="I49" i="1"/>
  <c r="T46" i="1"/>
  <c r="T45" i="1"/>
  <c r="L46" i="1"/>
  <c r="L45" i="1"/>
  <c r="D46" i="1"/>
  <c r="D45" i="1"/>
  <c r="L40" i="1"/>
  <c r="L39" i="1"/>
  <c r="D40" i="1"/>
  <c r="D39" i="1"/>
  <c r="L36" i="1"/>
  <c r="L35" i="1"/>
  <c r="D36" i="1"/>
  <c r="D35" i="1"/>
  <c r="L32" i="1"/>
  <c r="L31" i="1"/>
  <c r="D32" i="1"/>
  <c r="D31" i="1"/>
  <c r="L28" i="1"/>
  <c r="L27" i="1"/>
  <c r="D28" i="1"/>
  <c r="D27" i="1"/>
  <c r="Q24" i="1"/>
  <c r="Q23" i="1"/>
  <c r="I24" i="1"/>
  <c r="I23" i="1"/>
  <c r="M20" i="1"/>
  <c r="M16" i="1"/>
  <c r="L19" i="1"/>
  <c r="L17" i="1"/>
  <c r="K20" i="1"/>
  <c r="K18" i="1"/>
  <c r="J19" i="1"/>
  <c r="J16" i="1"/>
  <c r="I18" i="1"/>
  <c r="I17" i="1"/>
  <c r="H20" i="1"/>
  <c r="H19" i="1"/>
  <c r="G18" i="1"/>
  <c r="G16" i="1"/>
  <c r="F20" i="1"/>
  <c r="F17" i="1"/>
  <c r="E19" i="1"/>
  <c r="E18" i="1"/>
  <c r="D17" i="1"/>
  <c r="D16" i="1"/>
  <c r="M12" i="1"/>
  <c r="M8" i="1"/>
  <c r="L11" i="1"/>
  <c r="L9" i="1"/>
  <c r="K12" i="1"/>
  <c r="K10" i="1"/>
  <c r="J11" i="1"/>
  <c r="J8" i="1"/>
  <c r="I10" i="1"/>
  <c r="I9" i="1"/>
  <c r="H12" i="1"/>
  <c r="H11" i="1"/>
  <c r="G10" i="1"/>
  <c r="G8" i="1"/>
  <c r="F12" i="1"/>
  <c r="F9" i="1"/>
  <c r="E11" i="1"/>
  <c r="E10" i="1"/>
  <c r="D9" i="1"/>
  <c r="D8" i="1"/>
  <c r="B32" i="9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9" i="9"/>
  <c r="B10" i="9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C20" i="1"/>
  <c r="C19" i="1"/>
  <c r="K29" i="9"/>
  <c r="K27" i="9"/>
  <c r="K25" i="9"/>
  <c r="K23" i="9"/>
  <c r="K18" i="9"/>
  <c r="D18" i="9"/>
  <c r="K14" i="9"/>
  <c r="K12" i="9"/>
  <c r="D9" i="9"/>
  <c r="K28" i="9"/>
  <c r="K26" i="9"/>
  <c r="K24" i="9"/>
  <c r="K22" i="9"/>
  <c r="K21" i="9"/>
  <c r="K20" i="9"/>
  <c r="D29" i="9"/>
  <c r="D27" i="9"/>
  <c r="D26" i="9"/>
  <c r="D25" i="9"/>
  <c r="D24" i="9"/>
  <c r="D23" i="9"/>
  <c r="D22" i="9"/>
  <c r="D21" i="9"/>
  <c r="D20" i="9"/>
  <c r="K17" i="9"/>
  <c r="K16" i="9"/>
  <c r="K15" i="9"/>
  <c r="K13" i="9"/>
  <c r="K11" i="9"/>
  <c r="K10" i="9"/>
  <c r="K9" i="9"/>
  <c r="D17" i="9"/>
  <c r="D16" i="9"/>
  <c r="D15" i="9"/>
  <c r="D14" i="9"/>
  <c r="D13" i="9"/>
  <c r="D12" i="9"/>
  <c r="D11" i="9"/>
  <c r="D10" i="9"/>
  <c r="C18" i="1"/>
  <c r="C17" i="1"/>
  <c r="C16" i="1"/>
  <c r="C12" i="1"/>
  <c r="C11" i="1"/>
  <c r="C10" i="1"/>
  <c r="C9" i="1"/>
  <c r="C8" i="1"/>
  <c r="C31" i="9"/>
  <c r="C32" i="9"/>
  <c r="C33" i="9"/>
  <c r="C34" i="9"/>
  <c r="C35" i="9"/>
  <c r="C36" i="9"/>
  <c r="C38" i="9"/>
  <c r="C39" i="9"/>
  <c r="C40" i="9"/>
  <c r="C41" i="9"/>
  <c r="C42" i="9"/>
  <c r="C43" i="9"/>
  <c r="C44" i="9"/>
  <c r="C45" i="9"/>
  <c r="C46" i="9"/>
  <c r="E6" i="9"/>
  <c r="E5" i="9"/>
  <c r="E6" i="1"/>
  <c r="E5" i="1"/>
  <c r="B7" i="14"/>
  <c r="B4" i="14"/>
  <c r="B6" i="14"/>
  <c r="B3" i="14"/>
  <c r="L4" i="1"/>
  <c r="C4" i="1"/>
  <c r="J2" i="1"/>
  <c r="J1" i="1"/>
  <c r="K4" i="9"/>
  <c r="I2" i="9"/>
  <c r="B4" i="9"/>
  <c r="I1" i="9"/>
  <c r="N9" i="1"/>
  <c r="N16" i="1"/>
  <c r="N8" i="1"/>
  <c r="N17" i="1"/>
  <c r="N10" i="1"/>
  <c r="N20" i="1"/>
  <c r="N11" i="1"/>
  <c r="N18" i="1"/>
  <c r="N12" i="1"/>
  <c r="N19" i="1"/>
  <c r="P17" i="1" l="1"/>
  <c r="R9" i="1"/>
  <c r="P8" i="1"/>
  <c r="R20" i="1"/>
  <c r="P20" i="1"/>
  <c r="P12" i="1"/>
  <c r="R19" i="1"/>
  <c r="P18" i="1"/>
  <c r="P19" i="1"/>
  <c r="R12" i="1"/>
  <c r="R11" i="1"/>
  <c r="R16" i="1"/>
  <c r="L6" i="18"/>
  <c r="L5" i="18"/>
  <c r="L7" i="18"/>
  <c r="L3" i="18"/>
  <c r="P9" i="1"/>
  <c r="R18" i="1"/>
  <c r="P10" i="1"/>
  <c r="R8" i="1"/>
  <c r="L4" i="18"/>
  <c r="L9" i="18"/>
  <c r="L2" i="18"/>
  <c r="O17" i="1"/>
  <c r="O9" i="1"/>
  <c r="O8" i="1"/>
  <c r="O11" i="1"/>
  <c r="O12" i="1"/>
  <c r="O18" i="1"/>
  <c r="O19" i="1"/>
  <c r="O10" i="1"/>
  <c r="O16" i="1"/>
  <c r="O20" i="1"/>
  <c r="P11" i="1"/>
  <c r="R10" i="1"/>
  <c r="R17" i="1"/>
  <c r="P16" i="1"/>
  <c r="M23" i="1" l="1"/>
  <c r="H27" i="1"/>
  <c r="M24" i="1"/>
  <c r="E24" i="1"/>
  <c r="C27" i="1"/>
  <c r="C31" i="1"/>
  <c r="C32" i="1"/>
  <c r="H32" i="1"/>
  <c r="E23" i="1"/>
  <c r="C28" i="1"/>
  <c r="H31" i="1"/>
  <c r="H28" i="1"/>
  <c r="H36" i="1"/>
  <c r="E49" i="1" s="1"/>
  <c r="B12" i="14" s="1"/>
  <c r="H35" i="1"/>
  <c r="C45" i="1"/>
  <c r="C46" i="1"/>
  <c r="H40" i="1"/>
  <c r="C35" i="1"/>
  <c r="C39" i="1"/>
  <c r="H39" i="1"/>
  <c r="C40" i="1"/>
  <c r="C36" i="1"/>
  <c r="H45" i="1" s="1"/>
  <c r="M49" i="1"/>
  <c r="B11" i="14" s="1"/>
  <c r="B19" i="14"/>
  <c r="B18" i="14"/>
  <c r="E50" i="1"/>
  <c r="P45" i="1"/>
  <c r="P46" i="1"/>
  <c r="B15" i="14" s="1"/>
  <c r="M50" i="1"/>
  <c r="H46" i="1"/>
  <c r="B16" i="14" s="1"/>
  <c r="B17" i="14"/>
  <c r="B13" i="14"/>
  <c r="B14" i="14"/>
  <c r="B10" i="14"/>
  <c r="K46" i="9" l="1"/>
  <c r="D44" i="9"/>
  <c r="K45" i="9"/>
  <c r="D43" i="9"/>
  <c r="K40" i="9"/>
  <c r="D41" i="9"/>
  <c r="D40" i="9"/>
  <c r="D38" i="9"/>
  <c r="K41" i="9"/>
  <c r="K42" i="9"/>
  <c r="D42" i="9"/>
  <c r="D39" i="9"/>
  <c r="K34" i="9"/>
  <c r="D36" i="9"/>
  <c r="K35" i="9"/>
  <c r="D35" i="9"/>
  <c r="D33" i="9"/>
  <c r="K36" i="9"/>
  <c r="K31" i="9"/>
  <c r="K32" i="9"/>
  <c r="K33" i="9"/>
  <c r="D34" i="9"/>
  <c r="D31" i="9"/>
  <c r="D32" i="9"/>
</calcChain>
</file>

<file path=xl/sharedStrings.xml><?xml version="1.0" encoding="utf-8"?>
<sst xmlns="http://schemas.openxmlformats.org/spreadsheetml/2006/main" count="408" uniqueCount="197">
  <si>
    <t>Saison</t>
  </si>
  <si>
    <t>2021 - 2022</t>
  </si>
  <si>
    <t>Catégorie</t>
  </si>
  <si>
    <t>Division 1 Masculine manche 2</t>
  </si>
  <si>
    <t>Date</t>
  </si>
  <si>
    <t>12 et 13 mars 2022</t>
  </si>
  <si>
    <t>Lieu</t>
  </si>
  <si>
    <t>Le Puy en Velay</t>
  </si>
  <si>
    <t>Durée des matchs  1-20</t>
  </si>
  <si>
    <t>2*11' + 2' mi-temps + 1 temps mort / équipe +4' inter match= 30'</t>
  </si>
  <si>
    <t xml:space="preserve">Durée des matchs  21-35
</t>
  </si>
  <si>
    <t>2*13' + 2' mi-temps + 1 temps mort / équipe +4' inter match= 34'</t>
  </si>
  <si>
    <t>horaire 1er match samedi</t>
  </si>
  <si>
    <t>horaire 1er match dimanche</t>
  </si>
  <si>
    <t>Répartition dans les poules</t>
  </si>
  <si>
    <t>Poule A</t>
  </si>
  <si>
    <t>classement année antérieure</t>
  </si>
  <si>
    <t>PA1</t>
  </si>
  <si>
    <t>1er</t>
  </si>
  <si>
    <t>PA3</t>
  </si>
  <si>
    <t>Lagny</t>
  </si>
  <si>
    <t>3ème</t>
  </si>
  <si>
    <t>PA5</t>
  </si>
  <si>
    <t>Clermont Ferrand</t>
  </si>
  <si>
    <t>5ème</t>
  </si>
  <si>
    <t>PA7</t>
  </si>
  <si>
    <t>Ermont</t>
  </si>
  <si>
    <t>7ème</t>
  </si>
  <si>
    <t>PA9</t>
  </si>
  <si>
    <t>Morlaix</t>
  </si>
  <si>
    <t>9ème</t>
  </si>
  <si>
    <t>Poule B</t>
  </si>
  <si>
    <t>PB2</t>
  </si>
  <si>
    <t>Lille</t>
  </si>
  <si>
    <t>2ème</t>
  </si>
  <si>
    <t>PB4</t>
  </si>
  <si>
    <t>Nantes</t>
  </si>
  <si>
    <t>4ème</t>
  </si>
  <si>
    <t>PB6</t>
  </si>
  <si>
    <t>HOPE</t>
  </si>
  <si>
    <t>6ème</t>
  </si>
  <si>
    <t>PB8</t>
  </si>
  <si>
    <t>Clamart</t>
  </si>
  <si>
    <t>8ème</t>
  </si>
  <si>
    <t>PB10</t>
  </si>
  <si>
    <t>Neuilly sur Marne</t>
  </si>
  <si>
    <t>10ème</t>
  </si>
  <si>
    <t>Matchs arbitrés par les joueurs des équipes engagées (non forfaite) :</t>
  </si>
  <si>
    <t>Non</t>
  </si>
  <si>
    <t>Nombre de matchs de repos pour la pause repas :</t>
  </si>
  <si>
    <t>Nom</t>
  </si>
  <si>
    <t>Prénom</t>
  </si>
  <si>
    <t>Club</t>
  </si>
  <si>
    <t>TRUC1</t>
  </si>
  <si>
    <t>Hervé</t>
  </si>
  <si>
    <t>Equipe 1</t>
  </si>
  <si>
    <t>MUCHE2</t>
  </si>
  <si>
    <t>Vincent</t>
  </si>
  <si>
    <t>Equipe 2</t>
  </si>
  <si>
    <t>BIDULE3</t>
  </si>
  <si>
    <t>Laurent</t>
  </si>
  <si>
    <t>Equipe 3</t>
  </si>
  <si>
    <t>ZOZO4</t>
  </si>
  <si>
    <t>Stephane</t>
  </si>
  <si>
    <t>Equipe 4</t>
  </si>
  <si>
    <t>ZAZA5</t>
  </si>
  <si>
    <t>Guillaume</t>
  </si>
  <si>
    <t>Equipe 5</t>
  </si>
  <si>
    <t>LOLO6</t>
  </si>
  <si>
    <t>Sébastien</t>
  </si>
  <si>
    <t>Equipe 6</t>
  </si>
  <si>
    <t>KIKI7</t>
  </si>
  <si>
    <t>Stéphane</t>
  </si>
  <si>
    <t>Equipe 7</t>
  </si>
  <si>
    <t>FLUTE8</t>
  </si>
  <si>
    <t>Equipe 8</t>
  </si>
  <si>
    <t>DUDU9</t>
  </si>
  <si>
    <t>Fabien</t>
  </si>
  <si>
    <t>Equipe 9</t>
  </si>
  <si>
    <t>Saison :</t>
  </si>
  <si>
    <t xml:space="preserve">Lieu : </t>
  </si>
  <si>
    <t>CHAMPIONNAT DE FRANCE</t>
  </si>
  <si>
    <t>Date :</t>
  </si>
  <si>
    <t>Catégorie :</t>
  </si>
  <si>
    <t>Durée des matchs 1-20</t>
  </si>
  <si>
    <t>Durée des matchs 21-35</t>
  </si>
  <si>
    <t xml:space="preserve">  Coté vitres au départ</t>
  </si>
  <si>
    <t xml:space="preserve">      Score</t>
  </si>
  <si>
    <t>Coté Gradins au départ</t>
  </si>
  <si>
    <t>Arbitres</t>
  </si>
  <si>
    <t>Jour</t>
  </si>
  <si>
    <t>Horaires</t>
  </si>
  <si>
    <t>N°</t>
  </si>
  <si>
    <t>Equipes Noires</t>
  </si>
  <si>
    <t>Rep</t>
  </si>
  <si>
    <t>Noir</t>
  </si>
  <si>
    <t>Blanc</t>
  </si>
  <si>
    <t>Equipes Blanches</t>
  </si>
  <si>
    <t>Principal</t>
  </si>
  <si>
    <t xml:space="preserve">              Aquatiques</t>
  </si>
  <si>
    <t>Surveillant</t>
  </si>
  <si>
    <t>Samedi</t>
  </si>
  <si>
    <t>REUNION DES CAPITAINES</t>
  </si>
  <si>
    <t>Dimanche</t>
  </si>
  <si>
    <t>4B</t>
  </si>
  <si>
    <t>5A</t>
  </si>
  <si>
    <t>5B</t>
  </si>
  <si>
    <t>4A</t>
  </si>
  <si>
    <t>3A</t>
  </si>
  <si>
    <t>2B</t>
  </si>
  <si>
    <t>1A</t>
  </si>
  <si>
    <t>G21</t>
  </si>
  <si>
    <t>2A</t>
  </si>
  <si>
    <t>3B</t>
  </si>
  <si>
    <t>G22</t>
  </si>
  <si>
    <t>1B</t>
  </si>
  <si>
    <t>P23</t>
  </si>
  <si>
    <t>P24</t>
  </si>
  <si>
    <t>G23</t>
  </si>
  <si>
    <t>G24</t>
  </si>
  <si>
    <t>P25</t>
  </si>
  <si>
    <t>P26</t>
  </si>
  <si>
    <t>G25</t>
  </si>
  <si>
    <t>G26</t>
  </si>
  <si>
    <t>P22</t>
  </si>
  <si>
    <t>P21</t>
  </si>
  <si>
    <t>P27</t>
  </si>
  <si>
    <t>P29</t>
  </si>
  <si>
    <t>G27</t>
  </si>
  <si>
    <t>G29</t>
  </si>
  <si>
    <t>P28</t>
  </si>
  <si>
    <t>P30</t>
  </si>
  <si>
    <t>G28</t>
  </si>
  <si>
    <t>G30</t>
  </si>
  <si>
    <t>Res</t>
  </si>
  <si>
    <t>Cl.t</t>
  </si>
  <si>
    <t>Buts
Contre</t>
  </si>
  <si>
    <t>Buts
Pour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</si>
  <si>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</si>
  <si>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</si>
  <si>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</si>
  <si>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</si>
  <si>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</si>
  <si>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</si>
  <si>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</si>
  <si>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</si>
  <si>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</si>
  <si>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</si>
  <si>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M31 - 9/10</t>
  </si>
  <si>
    <t>M32 - 7/8</t>
  </si>
  <si>
    <t>M33 - 5/6</t>
  </si>
  <si>
    <t>M34 - 3/4</t>
  </si>
  <si>
    <t>M35- 1/2</t>
  </si>
  <si>
    <t>NOM</t>
  </si>
  <si>
    <t>PRENOM</t>
  </si>
  <si>
    <t>Prénom Nom</t>
  </si>
  <si>
    <t>PRINCIPAL</t>
  </si>
  <si>
    <t>AQUATIQUE</t>
  </si>
  <si>
    <t>CRITERE</t>
  </si>
  <si>
    <t>REPOS</t>
  </si>
  <si>
    <t>SELECTED</t>
  </si>
  <si>
    <t>REPAS</t>
  </si>
  <si>
    <t>LAST GAME</t>
  </si>
  <si>
    <t>$O$46</t>
  </si>
  <si>
    <t>$O$44</t>
  </si>
  <si>
    <t>$O$45</t>
  </si>
  <si>
    <t>$N$45</t>
  </si>
  <si>
    <t>$M$45</t>
  </si>
  <si>
    <t>$N$42</t>
  </si>
  <si>
    <t>$M$43</t>
  </si>
  <si>
    <t>$N$46</t>
  </si>
  <si>
    <t>$M$46</t>
  </si>
  <si>
    <t>DERVIN GUILLAUME</t>
  </si>
  <si>
    <t>DUMONT LAURENT</t>
  </si>
  <si>
    <t>SANDOR STEPHANE</t>
  </si>
  <si>
    <t>CHOISNARD GUILLAUME</t>
  </si>
  <si>
    <t>CHAYRIGUES ALEXANDRE</t>
  </si>
  <si>
    <t>BARDET STEPHANE</t>
  </si>
  <si>
    <t>PERIGAULT GUILLAUME</t>
  </si>
  <si>
    <t>PLAQUIN JEREMY</t>
  </si>
  <si>
    <t>SANDOR</t>
  </si>
  <si>
    <t>CHOISNARD</t>
  </si>
  <si>
    <t>CHAYRIGUES</t>
  </si>
  <si>
    <t xml:space="preserve"> </t>
  </si>
  <si>
    <t>CREQUIS</t>
  </si>
  <si>
    <t>VAN RECHEM</t>
  </si>
  <si>
    <t>JERI</t>
  </si>
  <si>
    <t>FUSTER</t>
  </si>
  <si>
    <t>POTELLE</t>
  </si>
  <si>
    <t>NANTES</t>
  </si>
  <si>
    <t>Comité</t>
  </si>
  <si>
    <t xml:space="preserve">Quota D2M </t>
  </si>
  <si>
    <t>IDF</t>
  </si>
  <si>
    <t>BPL</t>
  </si>
  <si>
    <t>AURA</t>
  </si>
  <si>
    <t>HAUTS DE FRANCES</t>
  </si>
  <si>
    <t>Sélectionnées en Manche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</si>
</sst>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i/>
      <u/>
      <sz val="12"/>
      <name val="Arial"/>
      <family val="2"/>
    </font>
    <font>
      <i/>
      <sz val="8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darkGray">
        <fgColor indexed="26"/>
        <bgColor indexed="8"/>
      </patternFill>
    </fill>
    <fill>
      <patternFill patternType="gray125"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4" fillId="0" borderId="0"/>
    <xf numFmtId="0" fontId="4" fillId="0" borderId="0"/>
  </cellStyleXfs>
  <cellXfs count="223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1" borderId="6" xfId="0" applyFont="1" applyFill="1" applyBorder="1" applyAlignment="1">
      <alignment horizontal="center" vertical="center"/>
    </xf>
    <xf numFmtId="0" fontId="1" fillId="1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0" fontId="1" fillId="0" borderId="0" xfId="0" applyFont="1" applyProtection="1"/>
    <xf numFmtId="0" fontId="3" fillId="0" borderId="6" xfId="0" applyFont="1" applyBorder="1" applyAlignment="1" applyProtection="1">
      <alignment horizontal="center" vertical="center"/>
      <protection locked="0"/>
    </xf>
    <xf numFmtId="20" fontId="3" fillId="0" borderId="6" xfId="0" applyNumberFormat="1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>
      <alignment vertical="center"/>
    </xf>
    <xf numFmtId="20" fontId="3" fillId="0" borderId="6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20" fontId="10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3" applyAlignment="1">
      <alignment horizontal="left" wrapText="1"/>
    </xf>
    <xf numFmtId="0" fontId="4" fillId="0" borderId="0" xfId="3" applyAlignment="1">
      <alignment wrapText="1"/>
    </xf>
    <xf numFmtId="0" fontId="4" fillId="0" borderId="0" xfId="3"/>
    <xf numFmtId="0" fontId="1" fillId="0" borderId="8" xfId="3" applyFont="1" applyBorder="1" applyAlignment="1">
      <alignment horizontal="left" wrapText="1"/>
    </xf>
    <xf numFmtId="0" fontId="1" fillId="0" borderId="8" xfId="3" applyFont="1" applyBorder="1" applyAlignment="1">
      <alignment wrapText="1"/>
    </xf>
    <xf numFmtId="0" fontId="1" fillId="0" borderId="0" xfId="3" applyFont="1" applyAlignment="1">
      <alignment horizontal="left" wrapText="1"/>
    </xf>
    <xf numFmtId="0" fontId="1" fillId="0" borderId="0" xfId="3" applyFont="1" applyAlignment="1">
      <alignment wrapText="1"/>
    </xf>
    <xf numFmtId="0" fontId="4" fillId="0" borderId="0" xfId="3" applyAlignment="1">
      <alignment horizontal="left"/>
    </xf>
    <xf numFmtId="0" fontId="1" fillId="0" borderId="8" xfId="4" applyFont="1" applyBorder="1" applyAlignment="1">
      <alignment wrapText="1"/>
    </xf>
    <xf numFmtId="0" fontId="4" fillId="0" borderId="0" xfId="4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20" xfId="0" applyBorder="1" applyAlignment="1" applyProtection="1"/>
    <xf numFmtId="0" fontId="12" fillId="4" borderId="6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" fillId="0" borderId="8" xfId="3" applyFont="1" applyBorder="1" applyAlignment="1" applyProtection="1">
      <alignment wrapText="1"/>
      <protection locked="0"/>
    </xf>
    <xf numFmtId="0" fontId="1" fillId="0" borderId="8" xfId="4" applyFont="1" applyBorder="1" applyAlignment="1" applyProtection="1">
      <alignment wrapText="1"/>
      <protection locked="0"/>
    </xf>
    <xf numFmtId="20" fontId="1" fillId="0" borderId="8" xfId="3" applyNumberFormat="1" applyFont="1" applyBorder="1" applyAlignment="1" applyProtection="1">
      <alignment wrapText="1"/>
      <protection locked="0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1" fillId="0" borderId="2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49" fontId="4" fillId="0" borderId="8" xfId="4" applyNumberFormat="1" applyFont="1" applyFill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0" xfId="4" applyAlignment="1">
      <alignment horizontal="center"/>
    </xf>
    <xf numFmtId="0" fontId="4" fillId="0" borderId="8" xfId="4" applyBorder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8" fillId="0" borderId="28" xfId="0" applyFont="1" applyFill="1" applyBorder="1" applyAlignment="1" applyProtection="1">
      <alignment horizontal="center" vertical="center"/>
      <protection locked="0"/>
    </xf>
    <xf numFmtId="0" fontId="20" fillId="0" borderId="29" xfId="0" applyNumberFormat="1" applyFont="1" applyFill="1" applyBorder="1" applyAlignment="1" applyProtection="1">
      <alignment horizontal="center" vertical="center"/>
      <protection locked="0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28" xfId="0" applyFont="1" applyFill="1" applyBorder="1" applyAlignment="1" applyProtection="1">
      <alignment horizontal="center" vertical="center"/>
      <protection locked="0"/>
    </xf>
    <xf numFmtId="0" fontId="20" fillId="0" borderId="29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22" fillId="0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27" xfId="0" applyFont="1" applyFill="1" applyBorder="1" applyAlignment="1" applyProtection="1">
      <alignment horizontal="center"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1" fillId="10" borderId="19" xfId="0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/>
    </xf>
    <xf numFmtId="0" fontId="1" fillId="10" borderId="32" xfId="0" applyFont="1" applyFill="1" applyBorder="1" applyAlignment="1">
      <alignment horizontal="center"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  <xf numFmtId="0" fontId="6" fillId="4" borderId="24" xfId="0" applyFont="1" applyFill="1" applyBorder="1" applyAlignment="1" applyProtection="1">
      <alignment horizontal="center"/>
    </xf>
    <xf numFmtId="0" fontId="6" fillId="0" borderId="8" xfId="0" applyFont="1" applyBorder="1" applyProtection="1">
      <protection locked="0"/>
    </xf>
    <xf numFmtId="0" fontId="3" fillId="0" borderId="13" xfId="3" applyFont="1" applyBorder="1" applyAlignment="1">
      <alignment horizontal="left" wrapText="1"/>
    </xf>
    <xf numFmtId="0" fontId="6" fillId="0" borderId="11" xfId="0" applyFont="1" applyBorder="1" applyProtection="1">
      <protection locked="0"/>
    </xf>
    <xf numFmtId="0" fontId="4" fillId="11" borderId="14" xfId="3" applyFill="1" applyBorder="1"/>
    <xf numFmtId="0" fontId="3" fillId="0" borderId="15" xfId="3" applyFont="1" applyBorder="1" applyAlignment="1">
      <alignment horizontal="left" wrapText="1"/>
    </xf>
    <xf numFmtId="0" fontId="4" fillId="11" borderId="25" xfId="3" applyFill="1" applyBorder="1"/>
    <xf numFmtId="0" fontId="3" fillId="0" borderId="15" xfId="3" applyFont="1" applyBorder="1" applyAlignment="1">
      <alignment horizontal="left"/>
    </xf>
    <xf numFmtId="0" fontId="3" fillId="0" borderId="24" xfId="3" applyFont="1" applyBorder="1" applyAlignment="1">
      <alignment horizontal="left"/>
    </xf>
    <xf numFmtId="0" fontId="6" fillId="0" borderId="9" xfId="0" applyFont="1" applyBorder="1" applyProtection="1">
      <protection locked="0"/>
    </xf>
    <xf numFmtId="0" fontId="4" fillId="11" borderId="12" xfId="3" applyFill="1" applyBorder="1"/>
    <xf numFmtId="0" fontId="4" fillId="11" borderId="33" xfId="3" applyFill="1" applyBorder="1"/>
    <xf numFmtId="20" fontId="1" fillId="0" borderId="8" xfId="4" applyNumberFormat="1" applyFont="1" applyBorder="1" applyAlignment="1">
      <alignment wrapText="1"/>
    </xf>
    <xf numFmtId="0" fontId="9" fillId="0" borderId="8" xfId="4" applyFont="1" applyBorder="1" applyAlignment="1"/>
    <xf numFmtId="0" fontId="1" fillId="0" borderId="8" xfId="4" applyFont="1" applyBorder="1" applyAlignment="1">
      <alignment horizontal="center"/>
    </xf>
    <xf numFmtId="0" fontId="1" fillId="0" borderId="8" xfId="4" applyFont="1" applyBorder="1" applyAlignment="1">
      <alignment horizontal="center" vertical="center" wrapText="1"/>
    </xf>
    <xf numFmtId="0" fontId="6" fillId="0" borderId="8" xfId="4" applyFont="1" applyBorder="1"/>
    <xf numFmtId="49" fontId="4" fillId="0" borderId="8" xfId="4" applyNumberFormat="1" applyFont="1" applyFill="1" applyBorder="1" applyAlignment="1">
      <alignment horizontal="center" shrinkToFit="1"/>
    </xf>
    <xf numFmtId="0" fontId="4" fillId="0" borderId="8" xfId="4" applyBorder="1"/>
    <xf numFmtId="0" fontId="4" fillId="0" borderId="0" xfId="4" applyAlignment="1">
      <alignment shrinkToFit="1"/>
    </xf>
    <xf numFmtId="1" fontId="6" fillId="4" borderId="34" xfId="0" applyNumberFormat="1" applyFont="1" applyFill="1" applyBorder="1" applyAlignment="1" applyProtection="1">
      <alignment horizontal="center"/>
    </xf>
    <xf numFmtId="1" fontId="6" fillId="4" borderId="35" xfId="0" applyNumberFormat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0" borderId="0" xfId="0" applyFont="1"/>
    <xf numFmtId="0" fontId="6" fillId="4" borderId="36" xfId="0" applyFont="1" applyFill="1" applyBorder="1" applyProtection="1"/>
    <xf numFmtId="0" fontId="6" fillId="0" borderId="0" xfId="0" applyFont="1" applyBorder="1" applyProtection="1"/>
    <xf numFmtId="0" fontId="6" fillId="4" borderId="37" xfId="0" applyFont="1" applyFill="1" applyBorder="1" applyProtection="1"/>
    <xf numFmtId="0" fontId="6" fillId="4" borderId="38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Fill="1" applyBorder="1" applyProtection="1"/>
    <xf numFmtId="0" fontId="3" fillId="7" borderId="0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20" fillId="8" borderId="6" xfId="0" applyFont="1" applyFill="1" applyBorder="1" applyAlignment="1" applyProtection="1">
      <alignment horizontal="center" vertical="center" shrinkToFit="1"/>
      <protection locked="0"/>
    </xf>
    <xf numFmtId="0" fontId="20" fillId="0" borderId="6" xfId="0" applyFont="1" applyFill="1" applyBorder="1" applyAlignment="1" applyProtection="1">
      <alignment horizontal="center" vertical="center" shrinkToFit="1"/>
      <protection locked="0"/>
    </xf>
    <xf numFmtId="0" fontId="20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0" fillId="8" borderId="6" xfId="0" applyNumberFormat="1" applyFont="1" applyFill="1" applyBorder="1" applyAlignment="1" applyProtection="1">
      <alignment horizontal="center" vertical="center" shrinkToFit="1"/>
      <protection locked="0"/>
    </xf>
    <xf numFmtId="0" fontId="20" fillId="9" borderId="6" xfId="0" applyNumberFormat="1" applyFont="1" applyFill="1" applyBorder="1" applyAlignment="1" applyProtection="1">
      <alignment horizontal="center" vertical="center" shrinkToFit="1"/>
      <protection locked="0"/>
    </xf>
    <xf numFmtId="0" fontId="21" fillId="7" borderId="0" xfId="0" applyFont="1" applyFill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9" borderId="6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>
      <alignment horizontal="center" vertical="center" shrinkToFit="1"/>
    </xf>
    <xf numFmtId="0" fontId="1" fillId="10" borderId="8" xfId="0" applyFont="1" applyFill="1" applyBorder="1" applyAlignment="1">
      <alignment vertical="center"/>
    </xf>
    <xf numFmtId="0" fontId="1" fillId="1" borderId="7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/>
    </xf>
    <xf numFmtId="0" fontId="6" fillId="4" borderId="32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center"/>
      <protection locked="0"/>
    </xf>
    <xf numFmtId="0" fontId="6" fillId="0" borderId="21" xfId="0" applyFont="1" applyBorder="1" applyProtection="1"/>
    <xf numFmtId="0" fontId="1" fillId="5" borderId="11" xfId="0" applyFont="1" applyFill="1" applyBorder="1" applyAlignment="1" applyProtection="1">
      <alignment horizontal="center"/>
    </xf>
    <xf numFmtId="0" fontId="6" fillId="4" borderId="11" xfId="0" applyFont="1" applyFill="1" applyBorder="1" applyAlignment="1" applyProtection="1">
      <alignment horizontal="center"/>
    </xf>
    <xf numFmtId="0" fontId="6" fillId="4" borderId="14" xfId="0" applyFont="1" applyFill="1" applyBorder="1" applyAlignment="1" applyProtection="1">
      <alignment horizontal="center"/>
    </xf>
    <xf numFmtId="0" fontId="6" fillId="4" borderId="15" xfId="0" applyFont="1" applyFill="1" applyBorder="1" applyAlignment="1" applyProtection="1">
      <alignment horizontal="center"/>
    </xf>
    <xf numFmtId="0" fontId="6" fillId="0" borderId="19" xfId="0" applyFont="1" applyBorder="1" applyProtection="1"/>
    <xf numFmtId="0" fontId="1" fillId="5" borderId="8" xfId="0" applyFont="1" applyFill="1" applyBorder="1" applyAlignment="1" applyProtection="1">
      <alignment horizontal="center"/>
    </xf>
    <xf numFmtId="0" fontId="1" fillId="5" borderId="25" xfId="0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horizontal="center"/>
    </xf>
    <xf numFmtId="0" fontId="6" fillId="4" borderId="16" xfId="0" applyFont="1" applyFill="1" applyBorder="1" applyAlignment="1" applyProtection="1">
      <alignment horizontal="center"/>
    </xf>
    <xf numFmtId="0" fontId="6" fillId="0" borderId="22" xfId="0" applyFont="1" applyBorder="1" applyProtection="1"/>
    <xf numFmtId="0" fontId="1" fillId="5" borderId="24" xfId="0" applyFont="1" applyFill="1" applyBorder="1" applyAlignment="1" applyProtection="1">
      <alignment horizontal="center"/>
    </xf>
    <xf numFmtId="0" fontId="1" fillId="5" borderId="9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10" borderId="30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20" fillId="0" borderId="39" xfId="0" applyFont="1" applyFill="1" applyBorder="1" applyAlignment="1" applyProtection="1">
      <alignment horizontal="center" vertical="center" shrinkToFit="1"/>
      <protection locked="0"/>
    </xf>
    <xf numFmtId="0" fontId="21" fillId="12" borderId="0" xfId="0" applyFont="1" applyFill="1" applyBorder="1" applyAlignment="1">
      <alignment vertical="center" shrinkToFit="1"/>
    </xf>
    <xf numFmtId="0" fontId="20" fillId="12" borderId="0" xfId="0" applyFont="1" applyFill="1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2" fillId="14" borderId="8" xfId="0" applyFont="1" applyFill="1" applyBorder="1" applyAlignment="1">
      <alignment horizontal="center" vertical="center"/>
    </xf>
    <xf numFmtId="0" fontId="22" fillId="1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3" applyFont="1" applyAlignment="1">
      <alignment horizontal="center" wrapText="1"/>
    </xf>
    <xf numFmtId="0" fontId="1" fillId="0" borderId="19" xfId="4" applyFont="1" applyBorder="1" applyAlignment="1">
      <alignment horizontal="center"/>
    </xf>
    <xf numFmtId="0" fontId="1" fillId="0" borderId="40" xfId="4" applyFont="1" applyBorder="1" applyAlignment="1">
      <alignment horizontal="center"/>
    </xf>
    <xf numFmtId="0" fontId="1" fillId="0" borderId="20" xfId="4" applyFont="1" applyBorder="1" applyAlignment="1">
      <alignment horizontal="center"/>
    </xf>
    <xf numFmtId="0" fontId="3" fillId="12" borderId="41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7" fillId="1" borderId="3" xfId="0" applyFont="1" applyFill="1" applyBorder="1" applyAlignment="1">
      <alignment horizontal="center" vertical="center"/>
    </xf>
    <xf numFmtId="0" fontId="1" fillId="1" borderId="7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4" borderId="32" xfId="0" applyFont="1" applyFill="1" applyBorder="1" applyAlignment="1" applyProtection="1">
      <alignment horizontal="center"/>
    </xf>
    <xf numFmtId="0" fontId="6" fillId="4" borderId="45" xfId="0" applyFont="1" applyFill="1" applyBorder="1" applyAlignment="1" applyProtection="1">
      <alignment horizontal="center"/>
    </xf>
    <xf numFmtId="0" fontId="6" fillId="4" borderId="46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/>
    </xf>
    <xf numFmtId="0" fontId="6" fillId="4" borderId="43" xfId="0" applyFont="1" applyFill="1" applyBorder="1" applyAlignment="1" applyProtection="1">
      <alignment horizontal="center"/>
    </xf>
    <xf numFmtId="0" fontId="6" fillId="4" borderId="44" xfId="0" applyFont="1" applyFill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0" fontId="6" fillId="0" borderId="47" xfId="0" applyFont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43" xfId="0" applyFont="1" applyFill="1" applyBorder="1" applyAlignment="1" applyProtection="1">
      <alignment horizontal="center"/>
      <protection locked="0"/>
    </xf>
    <xf numFmtId="0" fontId="6" fillId="4" borderId="44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center"/>
      <protection locked="0"/>
    </xf>
    <xf numFmtId="0" fontId="6" fillId="4" borderId="45" xfId="0" applyFont="1" applyFill="1" applyBorder="1" applyAlignment="1" applyProtection="1">
      <alignment horizontal="center"/>
      <protection locked="0"/>
    </xf>
    <xf numFmtId="0" fontId="6" fillId="4" borderId="46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49" xfId="0" applyFont="1" applyBorder="1" applyAlignment="1" applyProtection="1">
      <alignment horizontal="center" vertical="center"/>
    </xf>
    <xf numFmtId="49" fontId="1" fillId="0" borderId="33" xfId="0" applyNumberFormat="1" applyFont="1" applyBorder="1" applyAlignment="1">
      <alignment horizontal="center" vertical="center" textRotation="90" wrapText="1"/>
    </xf>
    <xf numFmtId="49" fontId="1" fillId="0" borderId="50" xfId="0" applyNumberFormat="1" applyFont="1" applyBorder="1" applyAlignment="1">
      <alignment horizontal="center" vertical="center" textRotation="90" wrapText="1"/>
    </xf>
    <xf numFmtId="49" fontId="1" fillId="0" borderId="30" xfId="0" applyNumberFormat="1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</cellXfs>
  <cellStyles count="5">
    <cellStyle name="Euro" xfId="1" xr:uid="{00000000-0005-0000-0000-000000000000}"/>
    <cellStyle name="Euro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3">
    <dxf>
      <font>
        <color theme="0"/>
      </font>
    </dxf>
    <dxf>
      <font>
        <color theme="8" tint="0.79998168889431442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30480</xdr:colOff>
          <xdr:row>7</xdr:row>
          <xdr:rowOff>22860</xdr:rowOff>
        </xdr:from>
        <xdr:to>
          <xdr:col>14</xdr:col>
          <xdr:colOff>1005840</xdr:colOff>
          <xdr:row>7</xdr:row>
          <xdr:rowOff>259080</xdr:rowOff>
        </xdr:to>
        <xdr:sp macro="" textlink="">
          <xdr:nvSpPr>
            <xdr:cNvPr id="7293" name="Button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1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Remplir la grille d'arbitres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3</xdr:col>
      <xdr:colOff>19050</xdr:colOff>
      <xdr:row>2</xdr:row>
      <xdr:rowOff>238125</xdr:rowOff>
    </xdr:to>
    <xdr:pic>
      <xdr:nvPicPr>
        <xdr:cNvPr id="7348" name="Image 1" descr="Hockey Subaquatique FFESSM - Logo negatif_rectangle.png">
          <a:extLst>
            <a:ext uri="{FF2B5EF4-FFF2-40B4-BE49-F238E27FC236}">
              <a16:creationId xmlns:a16="http://schemas.microsoft.com/office/drawing/2014/main" id="{00000000-0008-0000-0100-0000B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30480</xdr:rowOff>
    </xdr:from>
    <xdr:to>
      <xdr:col>2</xdr:col>
      <xdr:colOff>1154430</xdr:colOff>
      <xdr:row>2</xdr:row>
      <xdr:rowOff>268605</xdr:rowOff>
    </xdr:to>
    <xdr:pic>
      <xdr:nvPicPr>
        <xdr:cNvPr id="3" name="Image 1" descr="Hockey Subaquatique FFESSM - Logo negatif_rectangle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30480"/>
          <a:ext cx="1482090" cy="1045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1565778</xdr:colOff>
      <xdr:row>1</xdr:row>
      <xdr:rowOff>1104900</xdr:rowOff>
    </xdr:to>
    <xdr:pic>
      <xdr:nvPicPr>
        <xdr:cNvPr id="3" name="Image 1" descr="Hockey Subaquatique FFESSM - Logo negatif_rectangle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156577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FF0000"/>
  </sheetPr>
  <dimension ref="A2:D48"/>
  <sheetViews>
    <sheetView topLeftCell="A4" workbookViewId="0">
      <selection activeCell="C11" sqref="C11"/>
    </sheetView>
  </sheetViews>
  <sheetFormatPr baseColWidth="10" defaultColWidth="11.44140625" defaultRowHeight="13.2" x14ac:dyDescent="0.25"/>
  <cols>
    <col min="1" max="1" width="11.44140625" style="50"/>
    <col min="2" max="2" width="42.5546875" style="45" customWidth="1"/>
    <col min="3" max="3" width="38.21875" style="45" customWidth="1"/>
    <col min="4" max="16384" width="11.44140625" style="45"/>
  </cols>
  <sheetData>
    <row r="2" spans="1:3" x14ac:dyDescent="0.25">
      <c r="A2" s="43"/>
      <c r="B2" s="44"/>
    </row>
    <row r="3" spans="1:3" x14ac:dyDescent="0.25">
      <c r="A3" s="43"/>
      <c r="B3" s="44"/>
    </row>
    <row r="4" spans="1:3" ht="18.75" customHeight="1" x14ac:dyDescent="0.3">
      <c r="A4" s="46">
        <v>1</v>
      </c>
      <c r="B4" s="47" t="s">
        <v>0</v>
      </c>
      <c r="C4" s="67" t="s">
        <v>1</v>
      </c>
    </row>
    <row r="5" spans="1:3" ht="15.6" x14ac:dyDescent="0.3">
      <c r="A5" s="46">
        <v>2</v>
      </c>
      <c r="B5" s="47" t="s">
        <v>2</v>
      </c>
      <c r="C5" s="67" t="s">
        <v>3</v>
      </c>
    </row>
    <row r="6" spans="1:3" ht="15.6" x14ac:dyDescent="0.3">
      <c r="A6" s="46">
        <v>3</v>
      </c>
      <c r="B6" s="47" t="s">
        <v>4</v>
      </c>
      <c r="C6" s="67" t="s">
        <v>5</v>
      </c>
    </row>
    <row r="7" spans="1:3" ht="15.6" x14ac:dyDescent="0.3">
      <c r="A7" s="46">
        <v>4</v>
      </c>
      <c r="B7" s="47" t="s">
        <v>6</v>
      </c>
      <c r="C7" s="67" t="s">
        <v>7</v>
      </c>
    </row>
    <row r="8" spans="1:3" s="52" customFormat="1" ht="31.2" x14ac:dyDescent="0.3">
      <c r="A8" s="46">
        <v>5</v>
      </c>
      <c r="B8" s="51" t="s">
        <v>8</v>
      </c>
      <c r="C8" s="68" t="s">
        <v>9</v>
      </c>
    </row>
    <row r="9" spans="1:3" ht="15.6" x14ac:dyDescent="0.3">
      <c r="C9" s="69">
        <v>2.0833333333333332E-2</v>
      </c>
    </row>
    <row r="10" spans="1:3" ht="31.2" x14ac:dyDescent="0.3">
      <c r="A10" s="46">
        <v>6</v>
      </c>
      <c r="B10" s="47" t="s">
        <v>10</v>
      </c>
      <c r="C10" s="68" t="s">
        <v>11</v>
      </c>
    </row>
    <row r="11" spans="1:3" ht="15.6" x14ac:dyDescent="0.3">
      <c r="A11" s="46"/>
      <c r="B11" s="47"/>
      <c r="C11" s="69">
        <v>2.361111111111111E-2</v>
      </c>
    </row>
    <row r="12" spans="1:3" ht="15.6" x14ac:dyDescent="0.3">
      <c r="A12" s="46">
        <v>7</v>
      </c>
      <c r="B12" s="51" t="s">
        <v>12</v>
      </c>
      <c r="C12" s="111">
        <v>0.39583333333333331</v>
      </c>
    </row>
    <row r="13" spans="1:3" ht="15.6" x14ac:dyDescent="0.3">
      <c r="A13" s="46">
        <v>8</v>
      </c>
      <c r="B13" s="51" t="s">
        <v>13</v>
      </c>
      <c r="C13" s="111">
        <v>0.33333333333333331</v>
      </c>
    </row>
    <row r="14" spans="1:3" ht="21" customHeight="1" x14ac:dyDescent="0.3">
      <c r="A14" s="177" t="s">
        <v>14</v>
      </c>
      <c r="B14" s="177"/>
      <c r="C14" s="177"/>
    </row>
    <row r="15" spans="1:3" ht="16.2" thickBot="1" x14ac:dyDescent="0.35">
      <c r="A15" s="48" t="s">
        <v>15</v>
      </c>
      <c r="B15" s="49"/>
      <c r="C15" s="110" t="s">
        <v>16</v>
      </c>
    </row>
    <row r="16" spans="1:3" ht="15" x14ac:dyDescent="0.25">
      <c r="A16" s="101" t="s">
        <v>17</v>
      </c>
      <c r="B16" s="102" t="s">
        <v>7</v>
      </c>
      <c r="C16" s="103" t="s">
        <v>18</v>
      </c>
    </row>
    <row r="17" spans="1:4" ht="15" x14ac:dyDescent="0.25">
      <c r="A17" s="104" t="s">
        <v>19</v>
      </c>
      <c r="B17" s="100" t="s">
        <v>20</v>
      </c>
      <c r="C17" s="105" t="s">
        <v>21</v>
      </c>
    </row>
    <row r="18" spans="1:4" ht="15" x14ac:dyDescent="0.25">
      <c r="A18" s="106" t="s">
        <v>22</v>
      </c>
      <c r="B18" s="100" t="s">
        <v>23</v>
      </c>
      <c r="C18" s="105" t="s">
        <v>24</v>
      </c>
    </row>
    <row r="19" spans="1:4" ht="15" x14ac:dyDescent="0.25">
      <c r="A19" s="106" t="s">
        <v>25</v>
      </c>
      <c r="B19" s="100" t="s">
        <v>26</v>
      </c>
      <c r="C19" s="105" t="s">
        <v>27</v>
      </c>
    </row>
    <row r="20" spans="1:4" ht="15.6" thickBot="1" x14ac:dyDescent="0.3">
      <c r="A20" s="107" t="s">
        <v>28</v>
      </c>
      <c r="B20" s="108" t="s">
        <v>29</v>
      </c>
      <c r="C20" s="109" t="s">
        <v>30</v>
      </c>
    </row>
    <row r="22" spans="1:4" ht="16.2" thickBot="1" x14ac:dyDescent="0.35">
      <c r="A22" s="48" t="s">
        <v>31</v>
      </c>
    </row>
    <row r="23" spans="1:4" ht="15" x14ac:dyDescent="0.25">
      <c r="A23" s="101" t="s">
        <v>32</v>
      </c>
      <c r="B23" s="102" t="s">
        <v>33</v>
      </c>
      <c r="C23" s="103" t="s">
        <v>34</v>
      </c>
    </row>
    <row r="24" spans="1:4" ht="15" x14ac:dyDescent="0.25">
      <c r="A24" s="104" t="s">
        <v>35</v>
      </c>
      <c r="B24" s="100" t="s">
        <v>36</v>
      </c>
      <c r="C24" s="105" t="s">
        <v>37</v>
      </c>
    </row>
    <row r="25" spans="1:4" ht="15" x14ac:dyDescent="0.25">
      <c r="A25" s="106" t="s">
        <v>38</v>
      </c>
      <c r="B25" s="100" t="s">
        <v>39</v>
      </c>
      <c r="C25" s="105" t="s">
        <v>40</v>
      </c>
    </row>
    <row r="26" spans="1:4" ht="15" x14ac:dyDescent="0.25">
      <c r="A26" s="106" t="s">
        <v>41</v>
      </c>
      <c r="B26" s="100" t="s">
        <v>42</v>
      </c>
      <c r="C26" s="105" t="s">
        <v>43</v>
      </c>
    </row>
    <row r="27" spans="1:4" ht="15.6" thickBot="1" x14ac:dyDescent="0.3">
      <c r="A27" s="107" t="s">
        <v>44</v>
      </c>
      <c r="B27" s="108" t="s">
        <v>45</v>
      </c>
      <c r="C27" s="109" t="s">
        <v>46</v>
      </c>
    </row>
    <row r="30" spans="1:4" ht="17.399999999999999" x14ac:dyDescent="0.3">
      <c r="A30" s="178" t="s">
        <v>47</v>
      </c>
      <c r="B30" s="179"/>
      <c r="C30" s="180"/>
      <c r="D30" s="112" t="s">
        <v>48</v>
      </c>
    </row>
    <row r="31" spans="1:4" ht="15.6" x14ac:dyDescent="0.3">
      <c r="A31" s="178" t="s">
        <v>49</v>
      </c>
      <c r="B31" s="179"/>
      <c r="C31" s="180"/>
      <c r="D31" s="113">
        <v>3</v>
      </c>
    </row>
    <row r="32" spans="1:4" ht="15.6" x14ac:dyDescent="0.25">
      <c r="A32" s="114"/>
      <c r="B32" s="114" t="s">
        <v>50</v>
      </c>
      <c r="C32" s="114" t="s">
        <v>51</v>
      </c>
      <c r="D32" s="114" t="s">
        <v>52</v>
      </c>
    </row>
    <row r="33" spans="1:4" ht="15" x14ac:dyDescent="0.25">
      <c r="A33" s="77">
        <v>1</v>
      </c>
      <c r="B33" s="115" t="s">
        <v>53</v>
      </c>
      <c r="C33" s="115" t="s">
        <v>54</v>
      </c>
      <c r="D33" s="115" t="s">
        <v>55</v>
      </c>
    </row>
    <row r="34" spans="1:4" ht="15" x14ac:dyDescent="0.25">
      <c r="A34" s="77">
        <v>2</v>
      </c>
      <c r="B34" s="115" t="s">
        <v>56</v>
      </c>
      <c r="C34" s="115" t="s">
        <v>57</v>
      </c>
      <c r="D34" s="115" t="s">
        <v>58</v>
      </c>
    </row>
    <row r="35" spans="1:4" ht="15" x14ac:dyDescent="0.25">
      <c r="A35" s="77">
        <v>3</v>
      </c>
      <c r="B35" s="115" t="s">
        <v>59</v>
      </c>
      <c r="C35" s="115" t="s">
        <v>60</v>
      </c>
      <c r="D35" s="115" t="s">
        <v>61</v>
      </c>
    </row>
    <row r="36" spans="1:4" ht="15" x14ac:dyDescent="0.25">
      <c r="A36" s="77">
        <v>4</v>
      </c>
      <c r="B36" s="115" t="s">
        <v>62</v>
      </c>
      <c r="C36" s="115" t="s">
        <v>63</v>
      </c>
      <c r="D36" s="115" t="s">
        <v>64</v>
      </c>
    </row>
    <row r="37" spans="1:4" ht="15" x14ac:dyDescent="0.25">
      <c r="A37" s="77">
        <v>5</v>
      </c>
      <c r="B37" s="115" t="s">
        <v>65</v>
      </c>
      <c r="C37" s="115" t="s">
        <v>66</v>
      </c>
      <c r="D37" s="115" t="s">
        <v>67</v>
      </c>
    </row>
    <row r="38" spans="1:4" ht="15" x14ac:dyDescent="0.25">
      <c r="A38" s="77">
        <v>6</v>
      </c>
      <c r="B38" s="115" t="s">
        <v>68</v>
      </c>
      <c r="C38" s="115" t="s">
        <v>69</v>
      </c>
      <c r="D38" s="115" t="s">
        <v>70</v>
      </c>
    </row>
    <row r="39" spans="1:4" ht="15" x14ac:dyDescent="0.25">
      <c r="A39" s="77">
        <v>7</v>
      </c>
      <c r="B39" s="115" t="s">
        <v>71</v>
      </c>
      <c r="C39" s="115" t="s">
        <v>72</v>
      </c>
      <c r="D39" s="115" t="s">
        <v>73</v>
      </c>
    </row>
    <row r="40" spans="1:4" ht="15" x14ac:dyDescent="0.25">
      <c r="A40" s="77">
        <v>8</v>
      </c>
      <c r="B40" s="115" t="s">
        <v>74</v>
      </c>
      <c r="C40" s="115" t="s">
        <v>69</v>
      </c>
      <c r="D40" s="115" t="s">
        <v>75</v>
      </c>
    </row>
    <row r="41" spans="1:4" ht="15" x14ac:dyDescent="0.25">
      <c r="A41" s="77">
        <v>9</v>
      </c>
      <c r="B41" s="115" t="s">
        <v>76</v>
      </c>
      <c r="C41" s="115" t="s">
        <v>77</v>
      </c>
      <c r="D41" s="115" t="s">
        <v>78</v>
      </c>
    </row>
    <row r="42" spans="1:4" ht="15" x14ac:dyDescent="0.25">
      <c r="A42" s="77">
        <v>10</v>
      </c>
      <c r="B42" s="115"/>
      <c r="C42" s="115"/>
      <c r="D42" s="115"/>
    </row>
    <row r="43" spans="1:4" ht="15" x14ac:dyDescent="0.25">
      <c r="A43" s="77">
        <v>11</v>
      </c>
      <c r="B43" s="115"/>
      <c r="C43" s="115"/>
      <c r="D43" s="115"/>
    </row>
    <row r="44" spans="1:4" ht="15" x14ac:dyDescent="0.25">
      <c r="A44" s="77">
        <v>12</v>
      </c>
      <c r="B44" s="115"/>
      <c r="C44" s="115"/>
      <c r="D44" s="115"/>
    </row>
    <row r="45" spans="1:4" ht="15" x14ac:dyDescent="0.25">
      <c r="A45" s="77">
        <v>13</v>
      </c>
      <c r="B45" s="115"/>
      <c r="C45" s="115"/>
      <c r="D45" s="115"/>
    </row>
    <row r="46" spans="1:4" ht="15" x14ac:dyDescent="0.25">
      <c r="A46" s="77">
        <v>14</v>
      </c>
      <c r="B46" s="115"/>
      <c r="C46" s="115"/>
      <c r="D46" s="115"/>
    </row>
    <row r="47" spans="1:4" ht="15" x14ac:dyDescent="0.25">
      <c r="A47" s="77">
        <v>15</v>
      </c>
      <c r="B47" s="115"/>
      <c r="C47" s="115"/>
      <c r="D47" s="115"/>
    </row>
    <row r="48" spans="1:4" ht="15" x14ac:dyDescent="0.25">
      <c r="A48" s="77">
        <v>16</v>
      </c>
      <c r="B48" s="115"/>
      <c r="C48" s="115"/>
      <c r="D48" s="115"/>
    </row>
  </sheetData>
  <mergeCells count="3">
    <mergeCell ref="A14:C14"/>
    <mergeCell ref="A30:C30"/>
    <mergeCell ref="A31:C31"/>
  </mergeCells>
  <phoneticPr fontId="23" type="noConversion"/>
  <dataValidations count="2">
    <dataValidation type="list" allowBlank="1" showInputMessage="1" showErrorMessage="1" sqref="D30" xr:uid="{00000000-0002-0000-0000-000000000000}">
      <formula1>"Oui,Non"</formula1>
    </dataValidation>
    <dataValidation type="list" allowBlank="1" showInputMessage="1" showErrorMessage="1" sqref="D31" xr:uid="{00000000-0002-0000-0000-000001000000}">
      <formula1>"0,2,3,4"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X48"/>
  <sheetViews>
    <sheetView zoomScaleNormal="100" zoomScaleSheetLayoutView="100" workbookViewId="0">
      <selection activeCell="M55" sqref="M55"/>
    </sheetView>
  </sheetViews>
  <sheetFormatPr baseColWidth="10" defaultColWidth="8.77734375" defaultRowHeight="13.2" x14ac:dyDescent="0.25"/>
  <cols>
    <col min="1" max="2" width="8.77734375" customWidth="1"/>
    <col min="3" max="3" width="3.77734375" customWidth="1"/>
    <col min="4" max="4" width="20.21875" customWidth="1"/>
    <col min="5" max="5" width="4.77734375" customWidth="1"/>
    <col min="6" max="6" width="1.21875" customWidth="1"/>
    <col min="7" max="8" width="7.77734375" style="1" customWidth="1"/>
    <col min="9" max="9" width="1" customWidth="1"/>
    <col min="10" max="10" width="4.77734375" customWidth="1"/>
    <col min="11" max="11" width="21.77734375" customWidth="1"/>
    <col min="12" max="12" width="1" customWidth="1"/>
    <col min="13" max="13" width="18" customWidth="1"/>
    <col min="14" max="14" width="23.21875" customWidth="1"/>
    <col min="15" max="15" width="20.6640625" customWidth="1"/>
    <col min="16" max="18" width="9.77734375" hidden="1" customWidth="1"/>
    <col min="19" max="19" width="24" customWidth="1"/>
    <col min="20" max="256" width="11.44140625" customWidth="1"/>
  </cols>
  <sheetData>
    <row r="1" spans="1:24" s="53" customFormat="1" ht="38.25" customHeight="1" x14ac:dyDescent="0.25">
      <c r="F1" s="54"/>
      <c r="G1" s="193" t="s">
        <v>79</v>
      </c>
      <c r="H1" s="194"/>
      <c r="I1" s="184" t="str">
        <f>saison</f>
        <v>2021 - 2022</v>
      </c>
      <c r="J1" s="185"/>
      <c r="K1" s="185"/>
      <c r="L1" s="185"/>
      <c r="M1" s="185"/>
      <c r="N1" s="185"/>
      <c r="O1" s="186"/>
      <c r="P1" s="73"/>
    </row>
    <row r="2" spans="1:24" s="53" customFormat="1" ht="26.25" customHeight="1" x14ac:dyDescent="0.25">
      <c r="F2" s="54"/>
      <c r="G2" s="193" t="s">
        <v>80</v>
      </c>
      <c r="H2" s="194"/>
      <c r="I2" s="184" t="str">
        <f>lieu</f>
        <v>Le Puy en Velay</v>
      </c>
      <c r="J2" s="185"/>
      <c r="K2" s="185"/>
      <c r="L2" s="185"/>
      <c r="M2" s="185"/>
      <c r="N2" s="185"/>
      <c r="O2" s="186"/>
      <c r="P2" s="73"/>
    </row>
    <row r="3" spans="1:24" s="55" customFormat="1" ht="21" customHeight="1" x14ac:dyDescent="0.25">
      <c r="J3" s="187" t="s">
        <v>81</v>
      </c>
      <c r="K3" s="187"/>
      <c r="L3" s="187"/>
      <c r="M3" s="187"/>
      <c r="N3" s="187"/>
      <c r="O3" s="187"/>
    </row>
    <row r="4" spans="1:24" s="55" customFormat="1" ht="24.75" customHeight="1" x14ac:dyDescent="0.25">
      <c r="A4" s="36" t="s">
        <v>82</v>
      </c>
      <c r="B4" s="184" t="str">
        <f>date</f>
        <v>12 et 13 mars 2022</v>
      </c>
      <c r="C4" s="185"/>
      <c r="D4" s="185"/>
      <c r="E4" s="185"/>
      <c r="F4" s="186"/>
      <c r="G4" s="60"/>
      <c r="H4" s="36" t="s">
        <v>83</v>
      </c>
      <c r="I4" s="72"/>
      <c r="K4" s="184" t="str">
        <f>catégorie</f>
        <v>Division 1 Masculine manche 2</v>
      </c>
      <c r="L4" s="185"/>
      <c r="M4" s="185"/>
      <c r="N4" s="185"/>
      <c r="O4" s="186"/>
    </row>
    <row r="5" spans="1:24" s="66" customFormat="1" ht="12.75" customHeight="1" x14ac:dyDescent="0.25">
      <c r="A5" s="64"/>
      <c r="B5" s="183" t="s">
        <v>84</v>
      </c>
      <c r="C5" s="183"/>
      <c r="D5" s="183"/>
      <c r="E5" s="65" t="str">
        <f>edurée1</f>
        <v>2*11' + 2' mi-temps + 1 temps mort / équipe +4' inter match= 30'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4"/>
      <c r="R5" s="64"/>
      <c r="S5" s="64"/>
      <c r="T5" s="64"/>
      <c r="U5" s="64"/>
      <c r="V5" s="64"/>
      <c r="W5" s="64"/>
      <c r="X5" s="64"/>
    </row>
    <row r="6" spans="1:24" s="66" customFormat="1" ht="21" customHeight="1" thickBot="1" x14ac:dyDescent="0.3">
      <c r="A6" s="64"/>
      <c r="B6" s="183" t="s">
        <v>85</v>
      </c>
      <c r="C6" s="183"/>
      <c r="D6" s="183"/>
      <c r="E6" s="65" t="str">
        <f>edurée2</f>
        <v>2*13' + 2' mi-temps + 1 temps mort / équipe +4' inter match= 34'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4"/>
      <c r="R6" s="64"/>
      <c r="S6" s="64"/>
      <c r="T6" s="64"/>
      <c r="U6" s="64"/>
      <c r="V6" s="64"/>
      <c r="W6" s="64"/>
      <c r="X6" s="64"/>
    </row>
    <row r="7" spans="1:24" s="10" customFormat="1" ht="22.05" customHeight="1" thickTop="1" thickBot="1" x14ac:dyDescent="0.3">
      <c r="A7" s="2"/>
      <c r="B7" s="2"/>
      <c r="C7" s="3"/>
      <c r="D7" s="4" t="s">
        <v>86</v>
      </c>
      <c r="E7" s="5"/>
      <c r="F7" s="6"/>
      <c r="G7" s="4" t="s">
        <v>87</v>
      </c>
      <c r="H7" s="7"/>
      <c r="I7" s="8"/>
      <c r="J7" s="9" t="s">
        <v>88</v>
      </c>
      <c r="K7" s="5"/>
      <c r="L7" s="6"/>
      <c r="M7" s="195" t="s">
        <v>89</v>
      </c>
      <c r="N7" s="196"/>
      <c r="O7" s="197"/>
      <c r="P7" s="79"/>
      <c r="Q7" s="80"/>
      <c r="R7" s="79"/>
    </row>
    <row r="8" spans="1:24" s="10" customFormat="1" ht="22.05" customHeight="1" thickTop="1" thickBot="1" x14ac:dyDescent="0.3">
      <c r="A8" s="11" t="s">
        <v>90</v>
      </c>
      <c r="B8" s="11" t="s">
        <v>91</v>
      </c>
      <c r="C8" s="12" t="s">
        <v>92</v>
      </c>
      <c r="D8" s="12" t="s">
        <v>93</v>
      </c>
      <c r="E8" s="12" t="s">
        <v>94</v>
      </c>
      <c r="F8" s="13"/>
      <c r="G8" s="12" t="s">
        <v>95</v>
      </c>
      <c r="H8" s="12" t="s">
        <v>96</v>
      </c>
      <c r="I8" s="13"/>
      <c r="J8" s="12" t="s">
        <v>94</v>
      </c>
      <c r="K8" s="12" t="s">
        <v>97</v>
      </c>
      <c r="L8" s="13"/>
      <c r="M8" s="81" t="s">
        <v>98</v>
      </c>
      <c r="N8" s="143" t="s">
        <v>99</v>
      </c>
      <c r="O8" s="144"/>
      <c r="P8" s="190" t="s">
        <v>100</v>
      </c>
      <c r="Q8" s="191"/>
      <c r="R8" s="192"/>
    </row>
    <row r="9" spans="1:24" s="10" customFormat="1" ht="17.100000000000001" customHeight="1" thickTop="1" thickBot="1" x14ac:dyDescent="0.3">
      <c r="A9" s="22" t="s">
        <v>101</v>
      </c>
      <c r="B9" s="22">
        <f>HoraireMatchJ1</f>
        <v>0.39583333333333331</v>
      </c>
      <c r="C9" s="17">
        <v>1</v>
      </c>
      <c r="D9" s="141" t="str">
        <f>_PA1</f>
        <v>Le Puy en Velay</v>
      </c>
      <c r="E9" s="63">
        <v>1</v>
      </c>
      <c r="F9" s="14"/>
      <c r="G9" s="21">
        <v>5</v>
      </c>
      <c r="H9" s="21">
        <v>0</v>
      </c>
      <c r="I9" s="14"/>
      <c r="J9" s="63">
        <v>3</v>
      </c>
      <c r="K9" s="141" t="str">
        <f>_PA3</f>
        <v>Lagny</v>
      </c>
      <c r="L9" s="14"/>
      <c r="M9" s="133" t="s">
        <v>172</v>
      </c>
      <c r="N9" s="134" t="s">
        <v>173</v>
      </c>
      <c r="O9" s="134" t="s">
        <v>174</v>
      </c>
      <c r="P9" s="82"/>
      <c r="Q9" s="83"/>
      <c r="R9" s="84"/>
      <c r="T9" s="118"/>
    </row>
    <row r="10" spans="1:24" s="10" customFormat="1" ht="17.100000000000001" customHeight="1" thickTop="1" thickBot="1" x14ac:dyDescent="0.3">
      <c r="A10" s="22" t="s">
        <v>101</v>
      </c>
      <c r="B10" s="35">
        <f t="shared" ref="B10:B18" si="0">IF(G9="f",B9,IF(H9="f",B9,B9+durée1))</f>
        <v>0.41666666666666663</v>
      </c>
      <c r="C10" s="17">
        <v>2</v>
      </c>
      <c r="D10" s="141" t="str">
        <f>_PB2</f>
        <v>Lille</v>
      </c>
      <c r="E10" s="63">
        <v>2</v>
      </c>
      <c r="F10" s="14">
        <v>2</v>
      </c>
      <c r="G10" s="21">
        <v>2</v>
      </c>
      <c r="H10" s="21">
        <v>6</v>
      </c>
      <c r="I10" s="14"/>
      <c r="J10" s="63">
        <v>4</v>
      </c>
      <c r="K10" s="141" t="str">
        <f>_PB4</f>
        <v>Nantes</v>
      </c>
      <c r="L10" s="14"/>
      <c r="M10" s="133" t="s">
        <v>177</v>
      </c>
      <c r="N10" s="134" t="s">
        <v>176</v>
      </c>
      <c r="O10" s="134" t="s">
        <v>179</v>
      </c>
      <c r="P10" s="85"/>
      <c r="Q10" s="86"/>
      <c r="R10" s="87"/>
      <c r="S10" s="118" t="s">
        <v>175</v>
      </c>
      <c r="T10" s="118"/>
    </row>
    <row r="11" spans="1:24" s="10" customFormat="1" ht="17.100000000000001" customHeight="1" thickTop="1" thickBot="1" x14ac:dyDescent="0.3">
      <c r="A11" s="22" t="s">
        <v>101</v>
      </c>
      <c r="B11" s="35">
        <f t="shared" si="0"/>
        <v>0.43749999999999994</v>
      </c>
      <c r="C11" s="17">
        <v>3</v>
      </c>
      <c r="D11" s="141" t="str">
        <f>_PA5</f>
        <v>Clermont Ferrand</v>
      </c>
      <c r="E11" s="63">
        <v>5</v>
      </c>
      <c r="F11" s="14">
        <v>4</v>
      </c>
      <c r="G11" s="21">
        <v>6</v>
      </c>
      <c r="H11" s="21">
        <v>0</v>
      </c>
      <c r="I11" s="14"/>
      <c r="J11" s="63">
        <v>7</v>
      </c>
      <c r="K11" s="141" t="str">
        <f>_PA7</f>
        <v>Ermont</v>
      </c>
      <c r="L11" s="14"/>
      <c r="M11" s="133" t="s">
        <v>173</v>
      </c>
      <c r="N11" s="134" t="s">
        <v>178</v>
      </c>
      <c r="O11" s="134" t="s">
        <v>175</v>
      </c>
      <c r="P11" s="85"/>
      <c r="Q11" s="86"/>
      <c r="R11" s="87"/>
      <c r="T11" s="118"/>
    </row>
    <row r="12" spans="1:24" s="10" customFormat="1" ht="17.100000000000001" customHeight="1" thickTop="1" thickBot="1" x14ac:dyDescent="0.3">
      <c r="A12" s="22" t="s">
        <v>101</v>
      </c>
      <c r="B12" s="35">
        <f t="shared" si="0"/>
        <v>0.45833333333333326</v>
      </c>
      <c r="C12" s="17">
        <v>4</v>
      </c>
      <c r="D12" s="141" t="str">
        <f>_PB6</f>
        <v>HOPE</v>
      </c>
      <c r="E12" s="63">
        <v>6</v>
      </c>
      <c r="F12" s="14"/>
      <c r="G12" s="21">
        <v>3</v>
      </c>
      <c r="H12" s="21">
        <v>1</v>
      </c>
      <c r="I12" s="14"/>
      <c r="J12" s="63">
        <v>8</v>
      </c>
      <c r="K12" s="141" t="str">
        <f>_PB8</f>
        <v>Clamart</v>
      </c>
      <c r="L12" s="14"/>
      <c r="M12" s="133" t="s">
        <v>179</v>
      </c>
      <c r="N12" s="134" t="s">
        <v>172</v>
      </c>
      <c r="O12" s="134" t="s">
        <v>174</v>
      </c>
      <c r="P12" s="88"/>
      <c r="Q12" s="86"/>
      <c r="R12" s="87"/>
      <c r="T12" s="118"/>
    </row>
    <row r="13" spans="1:24" s="10" customFormat="1" ht="17.100000000000001" customHeight="1" thickTop="1" thickBot="1" x14ac:dyDescent="0.3">
      <c r="A13" s="22" t="s">
        <v>101</v>
      </c>
      <c r="B13" s="35">
        <f t="shared" si="0"/>
        <v>0.47916666666666657</v>
      </c>
      <c r="C13" s="17">
        <v>5</v>
      </c>
      <c r="D13" s="141" t="str">
        <f>_PA3</f>
        <v>Lagny</v>
      </c>
      <c r="E13" s="63">
        <v>3</v>
      </c>
      <c r="F13" s="14"/>
      <c r="G13" s="21">
        <v>1</v>
      </c>
      <c r="H13" s="21">
        <v>8</v>
      </c>
      <c r="I13" s="14"/>
      <c r="J13" s="63">
        <v>9</v>
      </c>
      <c r="K13" s="141" t="str">
        <f>_PA9</f>
        <v>Morlaix</v>
      </c>
      <c r="L13" s="14"/>
      <c r="M13" s="133" t="s">
        <v>178</v>
      </c>
      <c r="N13" s="134" t="s">
        <v>177</v>
      </c>
      <c r="O13" s="134" t="s">
        <v>176</v>
      </c>
      <c r="P13" s="85"/>
      <c r="Q13" s="86"/>
      <c r="R13" s="87"/>
      <c r="T13" s="118"/>
    </row>
    <row r="14" spans="1:24" s="10" customFormat="1" ht="17.100000000000001" customHeight="1" thickTop="1" thickBot="1" x14ac:dyDescent="0.3">
      <c r="A14" s="22" t="s">
        <v>101</v>
      </c>
      <c r="B14" s="35">
        <f t="shared" si="0"/>
        <v>0.49999999999999989</v>
      </c>
      <c r="C14" s="17">
        <v>6</v>
      </c>
      <c r="D14" s="141" t="str">
        <f>_PB4</f>
        <v>Nantes</v>
      </c>
      <c r="E14" s="63">
        <v>4</v>
      </c>
      <c r="F14" s="14"/>
      <c r="G14" s="21">
        <v>6</v>
      </c>
      <c r="H14" s="21">
        <v>1</v>
      </c>
      <c r="I14" s="14"/>
      <c r="J14" s="63">
        <v>10</v>
      </c>
      <c r="K14" s="141" t="str">
        <f>_PB10</f>
        <v>Neuilly sur Marne</v>
      </c>
      <c r="L14" s="14"/>
      <c r="M14" s="133" t="s">
        <v>175</v>
      </c>
      <c r="N14" s="134" t="s">
        <v>179</v>
      </c>
      <c r="O14" s="134" t="s">
        <v>173</v>
      </c>
      <c r="P14" s="85"/>
      <c r="Q14" s="86"/>
      <c r="R14" s="87"/>
      <c r="S14" s="134" t="s">
        <v>174</v>
      </c>
      <c r="T14" s="118"/>
    </row>
    <row r="15" spans="1:24" s="10" customFormat="1" ht="17.100000000000001" customHeight="1" thickTop="1" thickBot="1" x14ac:dyDescent="0.3">
      <c r="A15" s="22" t="s">
        <v>101</v>
      </c>
      <c r="B15" s="35">
        <f t="shared" si="0"/>
        <v>0.52083333333333326</v>
      </c>
      <c r="C15" s="17">
        <v>7</v>
      </c>
      <c r="D15" s="141" t="str">
        <f>_PA1</f>
        <v>Le Puy en Velay</v>
      </c>
      <c r="E15" s="63">
        <v>1</v>
      </c>
      <c r="F15" s="14"/>
      <c r="G15" s="21">
        <v>3</v>
      </c>
      <c r="H15" s="21">
        <v>0</v>
      </c>
      <c r="I15" s="14"/>
      <c r="J15" s="63">
        <v>5</v>
      </c>
      <c r="K15" s="141" t="str">
        <f>_PA5</f>
        <v>Clermont Ferrand</v>
      </c>
      <c r="L15" s="14"/>
      <c r="M15" s="133" t="s">
        <v>176</v>
      </c>
      <c r="N15" s="134" t="s">
        <v>172</v>
      </c>
      <c r="O15" s="134" t="s">
        <v>175</v>
      </c>
      <c r="P15" s="85"/>
      <c r="Q15" s="86"/>
      <c r="R15" s="87"/>
      <c r="T15" s="118"/>
    </row>
    <row r="16" spans="1:24" s="10" customFormat="1" ht="17.100000000000001" customHeight="1" thickTop="1" thickBot="1" x14ac:dyDescent="0.3">
      <c r="A16" s="22" t="s">
        <v>101</v>
      </c>
      <c r="B16" s="35">
        <f t="shared" si="0"/>
        <v>0.54166666666666663</v>
      </c>
      <c r="C16" s="17">
        <v>8</v>
      </c>
      <c r="D16" s="141" t="str">
        <f>_PB2</f>
        <v>Lille</v>
      </c>
      <c r="E16" s="63">
        <v>2</v>
      </c>
      <c r="F16" s="14"/>
      <c r="G16" s="21">
        <v>0</v>
      </c>
      <c r="H16" s="21">
        <v>4</v>
      </c>
      <c r="I16" s="14"/>
      <c r="J16" s="63">
        <v>6</v>
      </c>
      <c r="K16" s="141" t="str">
        <f>_PB6</f>
        <v>HOPE</v>
      </c>
      <c r="L16" s="14"/>
      <c r="M16" s="133" t="s">
        <v>177</v>
      </c>
      <c r="N16" s="134" t="s">
        <v>178</v>
      </c>
      <c r="O16" s="134" t="s">
        <v>174</v>
      </c>
      <c r="P16" s="85"/>
      <c r="Q16" s="86"/>
      <c r="R16" s="87"/>
      <c r="T16" s="118"/>
    </row>
    <row r="17" spans="1:19" s="10" customFormat="1" ht="17.100000000000001" customHeight="1" thickTop="1" thickBot="1" x14ac:dyDescent="0.3">
      <c r="A17" s="22" t="s">
        <v>101</v>
      </c>
      <c r="B17" s="35">
        <f t="shared" si="0"/>
        <v>0.5625</v>
      </c>
      <c r="C17" s="17">
        <v>9</v>
      </c>
      <c r="D17" s="141" t="str">
        <f>_PA7</f>
        <v>Ermont</v>
      </c>
      <c r="E17" s="63">
        <v>7</v>
      </c>
      <c r="F17" s="14"/>
      <c r="G17" s="21">
        <v>1</v>
      </c>
      <c r="H17" s="21">
        <v>5</v>
      </c>
      <c r="I17" s="14"/>
      <c r="J17" s="63">
        <v>9</v>
      </c>
      <c r="K17" s="141" t="str">
        <f>_PA9</f>
        <v>Morlaix</v>
      </c>
      <c r="L17" s="14"/>
      <c r="M17" s="133" t="s">
        <v>173</v>
      </c>
      <c r="N17" s="134" t="s">
        <v>176</v>
      </c>
      <c r="O17" s="134" t="s">
        <v>179</v>
      </c>
      <c r="P17" s="85"/>
      <c r="Q17" s="86"/>
      <c r="R17" s="87"/>
      <c r="S17" s="10" t="s">
        <v>174</v>
      </c>
    </row>
    <row r="18" spans="1:19" s="10" customFormat="1" ht="17.100000000000001" customHeight="1" thickTop="1" thickBot="1" x14ac:dyDescent="0.3">
      <c r="A18" s="22" t="s">
        <v>101</v>
      </c>
      <c r="B18" s="35">
        <f t="shared" si="0"/>
        <v>0.58333333333333337</v>
      </c>
      <c r="C18" s="17">
        <v>10</v>
      </c>
      <c r="D18" s="141" t="str">
        <f>_PB8</f>
        <v>Clamart</v>
      </c>
      <c r="E18" s="63">
        <v>8</v>
      </c>
      <c r="F18" s="14"/>
      <c r="G18" s="21">
        <v>3</v>
      </c>
      <c r="H18" s="21">
        <v>1</v>
      </c>
      <c r="I18" s="14"/>
      <c r="J18" s="63">
        <v>10</v>
      </c>
      <c r="K18" s="141" t="str">
        <f>_PB10</f>
        <v>Neuilly sur Marne</v>
      </c>
      <c r="L18" s="14"/>
      <c r="M18" s="133" t="s">
        <v>172</v>
      </c>
      <c r="N18" s="134" t="s">
        <v>175</v>
      </c>
      <c r="O18" s="168" t="s">
        <v>177</v>
      </c>
      <c r="P18" s="85"/>
      <c r="Q18" s="86"/>
      <c r="R18" s="87"/>
    </row>
    <row r="19" spans="1:19" s="10" customFormat="1" ht="17.100000000000001" customHeight="1" thickTop="1" thickBot="1" x14ac:dyDescent="0.3">
      <c r="A19" s="22" t="s">
        <v>101</v>
      </c>
      <c r="B19" s="35">
        <f>B18+durée1</f>
        <v>0.60416666666666674</v>
      </c>
      <c r="C19" s="188" t="s">
        <v>102</v>
      </c>
      <c r="D19" s="189"/>
      <c r="E19" s="189"/>
      <c r="F19" s="189"/>
      <c r="G19" s="189"/>
      <c r="H19" s="189"/>
      <c r="I19" s="189"/>
      <c r="J19" s="189"/>
      <c r="K19" s="189"/>
      <c r="L19" s="131"/>
      <c r="M19" s="138"/>
      <c r="N19" s="138"/>
      <c r="O19" s="138"/>
      <c r="P19" s="131"/>
      <c r="Q19" s="131"/>
      <c r="R19" s="132"/>
    </row>
    <row r="20" spans="1:19" s="10" customFormat="1" ht="17.100000000000001" customHeight="1" thickTop="1" thickBot="1" x14ac:dyDescent="0.3">
      <c r="A20" s="22" t="s">
        <v>101</v>
      </c>
      <c r="B20" s="35">
        <f>IF(G18="f",B19,IF(H18="f",B19,B19+durée1))</f>
        <v>0.62500000000000011</v>
      </c>
      <c r="C20" s="17">
        <v>11</v>
      </c>
      <c r="D20" s="141" t="str">
        <f>_PA3</f>
        <v>Lagny</v>
      </c>
      <c r="E20" s="63">
        <v>3</v>
      </c>
      <c r="F20" s="14"/>
      <c r="G20" s="21">
        <v>0</v>
      </c>
      <c r="H20" s="21">
        <v>7</v>
      </c>
      <c r="I20" s="14"/>
      <c r="J20" s="63">
        <v>5</v>
      </c>
      <c r="K20" s="141" t="str">
        <f>_PA5</f>
        <v>Clermont Ferrand</v>
      </c>
      <c r="L20" s="14"/>
      <c r="M20" s="133" t="s">
        <v>177</v>
      </c>
      <c r="N20" s="134" t="s">
        <v>178</v>
      </c>
      <c r="O20" s="134" t="s">
        <v>179</v>
      </c>
      <c r="P20" s="85"/>
      <c r="Q20" s="86"/>
      <c r="R20" s="87"/>
      <c r="S20" s="10" t="s">
        <v>175</v>
      </c>
    </row>
    <row r="21" spans="1:19" s="10" customFormat="1" ht="17.100000000000001" customHeight="1" thickTop="1" thickBot="1" x14ac:dyDescent="0.3">
      <c r="A21" s="22" t="s">
        <v>101</v>
      </c>
      <c r="B21" s="35">
        <f t="shared" ref="B21:B30" si="1">IF(G20="f",B20,IF(H20="f",B20,B20+durée1))</f>
        <v>0.64583333333333348</v>
      </c>
      <c r="C21" s="17">
        <v>12</v>
      </c>
      <c r="D21" s="141" t="str">
        <f>_PB4</f>
        <v>Nantes</v>
      </c>
      <c r="E21" s="63">
        <v>4</v>
      </c>
      <c r="F21" s="14"/>
      <c r="G21" s="21">
        <v>3</v>
      </c>
      <c r="H21" s="21">
        <v>1</v>
      </c>
      <c r="I21" s="14"/>
      <c r="J21" s="63">
        <v>6</v>
      </c>
      <c r="K21" s="141" t="str">
        <f>_PB6</f>
        <v>HOPE</v>
      </c>
      <c r="L21" s="14"/>
      <c r="M21" s="133" t="s">
        <v>176</v>
      </c>
      <c r="N21" s="134" t="s">
        <v>174</v>
      </c>
      <c r="O21" s="134" t="s">
        <v>173</v>
      </c>
      <c r="P21" s="85"/>
      <c r="Q21" s="86"/>
      <c r="R21" s="87"/>
    </row>
    <row r="22" spans="1:19" s="10" customFormat="1" ht="17.100000000000001" customHeight="1" thickTop="1" thickBot="1" x14ac:dyDescent="0.3">
      <c r="A22" s="22" t="s">
        <v>101</v>
      </c>
      <c r="B22" s="35">
        <f t="shared" si="1"/>
        <v>0.66666666666666685</v>
      </c>
      <c r="C22" s="17">
        <v>13</v>
      </c>
      <c r="D22" s="141" t="str">
        <f>_PA1</f>
        <v>Le Puy en Velay</v>
      </c>
      <c r="E22" s="63">
        <v>1</v>
      </c>
      <c r="F22" s="14"/>
      <c r="G22" s="21">
        <v>5</v>
      </c>
      <c r="H22" s="21">
        <v>0</v>
      </c>
      <c r="I22" s="14"/>
      <c r="J22" s="63">
        <v>7</v>
      </c>
      <c r="K22" s="141" t="str">
        <f>_PA7</f>
        <v>Ermont</v>
      </c>
      <c r="L22" s="14"/>
      <c r="M22" s="133" t="s">
        <v>178</v>
      </c>
      <c r="N22" s="134" t="s">
        <v>172</v>
      </c>
      <c r="O22" s="134" t="s">
        <v>175</v>
      </c>
      <c r="P22" s="85"/>
      <c r="Q22" s="86"/>
      <c r="R22" s="87"/>
    </row>
    <row r="23" spans="1:19" s="10" customFormat="1" ht="17.100000000000001" customHeight="1" thickTop="1" thickBot="1" x14ac:dyDescent="0.3">
      <c r="A23" s="22" t="s">
        <v>101</v>
      </c>
      <c r="B23" s="35">
        <f t="shared" si="1"/>
        <v>0.68750000000000022</v>
      </c>
      <c r="C23" s="17">
        <v>14</v>
      </c>
      <c r="D23" s="141" t="str">
        <f>_PB2</f>
        <v>Lille</v>
      </c>
      <c r="E23" s="63">
        <v>2</v>
      </c>
      <c r="F23" s="14"/>
      <c r="G23" s="21">
        <v>1</v>
      </c>
      <c r="H23" s="21">
        <v>3</v>
      </c>
      <c r="I23" s="14"/>
      <c r="J23" s="63">
        <v>8</v>
      </c>
      <c r="K23" s="141" t="str">
        <f>_PB8</f>
        <v>Clamart</v>
      </c>
      <c r="L23" s="14"/>
      <c r="M23" s="133" t="s">
        <v>173</v>
      </c>
      <c r="N23" s="134" t="s">
        <v>179</v>
      </c>
      <c r="O23" s="140" t="s">
        <v>177</v>
      </c>
      <c r="P23" s="85"/>
      <c r="Q23" s="86"/>
      <c r="R23" s="87"/>
      <c r="S23" s="10" t="s">
        <v>174</v>
      </c>
    </row>
    <row r="24" spans="1:19" s="10" customFormat="1" ht="17.100000000000001" customHeight="1" thickTop="1" thickBot="1" x14ac:dyDescent="0.3">
      <c r="A24" s="22" t="s">
        <v>101</v>
      </c>
      <c r="B24" s="35">
        <f t="shared" si="1"/>
        <v>0.70833333333333359</v>
      </c>
      <c r="C24" s="17">
        <v>15</v>
      </c>
      <c r="D24" s="141" t="str">
        <f>_PA5</f>
        <v>Clermont Ferrand</v>
      </c>
      <c r="E24" s="63">
        <v>5</v>
      </c>
      <c r="F24" s="14"/>
      <c r="G24" s="21">
        <v>1</v>
      </c>
      <c r="H24" s="21">
        <v>2</v>
      </c>
      <c r="I24" s="14"/>
      <c r="J24" s="63">
        <v>9</v>
      </c>
      <c r="K24" s="141" t="str">
        <f>_PA9</f>
        <v>Morlaix</v>
      </c>
      <c r="L24" s="14"/>
      <c r="M24" s="133" t="s">
        <v>175</v>
      </c>
      <c r="N24" s="134" t="s">
        <v>176</v>
      </c>
      <c r="O24" s="134" t="s">
        <v>178</v>
      </c>
      <c r="P24" s="85"/>
      <c r="Q24" s="86"/>
      <c r="R24" s="87"/>
    </row>
    <row r="25" spans="1:19" s="10" customFormat="1" ht="17.100000000000001" customHeight="1" thickTop="1" thickBot="1" x14ac:dyDescent="0.3">
      <c r="A25" s="22" t="s">
        <v>101</v>
      </c>
      <c r="B25" s="35">
        <f t="shared" si="1"/>
        <v>0.72916666666666696</v>
      </c>
      <c r="C25" s="17">
        <v>16</v>
      </c>
      <c r="D25" s="141" t="str">
        <f>_PB6</f>
        <v>HOPE</v>
      </c>
      <c r="E25" s="63">
        <v>6</v>
      </c>
      <c r="F25" s="14"/>
      <c r="G25" s="21">
        <v>4</v>
      </c>
      <c r="H25" s="21">
        <v>1</v>
      </c>
      <c r="I25" s="14"/>
      <c r="J25" s="63">
        <v>10</v>
      </c>
      <c r="K25" s="141" t="str">
        <f>_PB10</f>
        <v>Neuilly sur Marne</v>
      </c>
      <c r="L25" s="14"/>
      <c r="M25" s="133" t="s">
        <v>172</v>
      </c>
      <c r="N25" s="134" t="s">
        <v>173</v>
      </c>
      <c r="O25" s="134" t="s">
        <v>174</v>
      </c>
      <c r="P25" s="85"/>
      <c r="Q25" s="86"/>
      <c r="R25" s="87"/>
    </row>
    <row r="26" spans="1:19" s="10" customFormat="1" ht="17.100000000000001" customHeight="1" thickTop="1" thickBot="1" x14ac:dyDescent="0.3">
      <c r="A26" s="22" t="s">
        <v>101</v>
      </c>
      <c r="B26" s="35">
        <f t="shared" si="1"/>
        <v>0.75000000000000033</v>
      </c>
      <c r="C26" s="17">
        <v>17</v>
      </c>
      <c r="D26" s="141" t="str">
        <f>_PA3</f>
        <v>Lagny</v>
      </c>
      <c r="E26" s="63">
        <v>3</v>
      </c>
      <c r="F26" s="14"/>
      <c r="G26" s="21">
        <v>3</v>
      </c>
      <c r="H26" s="21">
        <v>2</v>
      </c>
      <c r="I26" s="14"/>
      <c r="J26" s="63">
        <v>7</v>
      </c>
      <c r="K26" s="141" t="str">
        <f>_PA7</f>
        <v>Ermont</v>
      </c>
      <c r="L26" s="14"/>
      <c r="M26" s="133" t="s">
        <v>179</v>
      </c>
      <c r="N26" s="140" t="s">
        <v>177</v>
      </c>
      <c r="O26" s="134" t="s">
        <v>175</v>
      </c>
      <c r="P26" s="85"/>
      <c r="Q26" s="86"/>
      <c r="R26" s="87"/>
    </row>
    <row r="27" spans="1:19" s="10" customFormat="1" ht="17.100000000000001" customHeight="1" thickTop="1" thickBot="1" x14ac:dyDescent="0.3">
      <c r="A27" s="22" t="s">
        <v>101</v>
      </c>
      <c r="B27" s="35">
        <f t="shared" si="1"/>
        <v>0.7708333333333337</v>
      </c>
      <c r="C27" s="17">
        <v>18</v>
      </c>
      <c r="D27" s="141" t="str">
        <f>_PB4</f>
        <v>Nantes</v>
      </c>
      <c r="E27" s="63">
        <v>4</v>
      </c>
      <c r="F27" s="14"/>
      <c r="G27" s="21">
        <v>1</v>
      </c>
      <c r="H27" s="21">
        <v>2</v>
      </c>
      <c r="I27" s="14"/>
      <c r="J27" s="63">
        <v>8</v>
      </c>
      <c r="K27" s="141" t="str">
        <f>_PB8</f>
        <v>Clamart</v>
      </c>
      <c r="L27" s="14"/>
      <c r="M27" s="133" t="s">
        <v>176</v>
      </c>
      <c r="N27" s="134" t="s">
        <v>178</v>
      </c>
      <c r="O27" s="134" t="s">
        <v>174</v>
      </c>
      <c r="P27" s="85"/>
      <c r="Q27" s="86"/>
      <c r="R27" s="87"/>
    </row>
    <row r="28" spans="1:19" s="10" customFormat="1" ht="17.100000000000001" customHeight="1" thickTop="1" thickBot="1" x14ac:dyDescent="0.3">
      <c r="A28" s="22" t="s">
        <v>101</v>
      </c>
      <c r="B28" s="35">
        <f t="shared" si="1"/>
        <v>0.79166666666666707</v>
      </c>
      <c r="C28" s="17">
        <v>19</v>
      </c>
      <c r="D28" s="141" t="str">
        <f>_PA1</f>
        <v>Le Puy en Velay</v>
      </c>
      <c r="E28" s="63">
        <v>1</v>
      </c>
      <c r="F28" s="14"/>
      <c r="G28" s="21">
        <v>6</v>
      </c>
      <c r="H28" s="21">
        <v>0</v>
      </c>
      <c r="I28" s="14"/>
      <c r="J28" s="63">
        <v>9</v>
      </c>
      <c r="K28" s="141" t="str">
        <f>_PA9</f>
        <v>Morlaix</v>
      </c>
      <c r="L28" s="14"/>
      <c r="M28" s="133" t="s">
        <v>177</v>
      </c>
      <c r="N28" s="134" t="s">
        <v>172</v>
      </c>
      <c r="O28" s="134" t="s">
        <v>175</v>
      </c>
      <c r="P28" s="85"/>
      <c r="Q28" s="86"/>
      <c r="R28" s="87"/>
    </row>
    <row r="29" spans="1:19" s="10" customFormat="1" ht="17.25" customHeight="1" thickTop="1" thickBot="1" x14ac:dyDescent="0.3">
      <c r="A29" s="22" t="s">
        <v>101</v>
      </c>
      <c r="B29" s="35">
        <f t="shared" si="1"/>
        <v>0.81250000000000044</v>
      </c>
      <c r="C29" s="17">
        <v>20</v>
      </c>
      <c r="D29" s="141" t="str">
        <f>_PB2</f>
        <v>Lille</v>
      </c>
      <c r="E29" s="63">
        <v>2</v>
      </c>
      <c r="F29" s="14"/>
      <c r="G29" s="21">
        <v>4</v>
      </c>
      <c r="H29" s="21">
        <v>3</v>
      </c>
      <c r="I29" s="14"/>
      <c r="J29" s="63">
        <v>10</v>
      </c>
      <c r="K29" s="141" t="str">
        <f>_PB10</f>
        <v>Neuilly sur Marne</v>
      </c>
      <c r="L29" s="14"/>
      <c r="M29" s="133" t="s">
        <v>178</v>
      </c>
      <c r="N29" s="134" t="s">
        <v>179</v>
      </c>
      <c r="O29" s="134" t="s">
        <v>176</v>
      </c>
      <c r="P29" s="85"/>
      <c r="Q29" s="86"/>
      <c r="R29" s="87"/>
      <c r="S29" s="10" t="s">
        <v>174</v>
      </c>
    </row>
    <row r="30" spans="1:19" s="10" customFormat="1" ht="17.100000000000001" customHeight="1" thickTop="1" thickBot="1" x14ac:dyDescent="0.3">
      <c r="A30" s="66" t="s">
        <v>183</v>
      </c>
      <c r="B30" s="35">
        <f t="shared" si="1"/>
        <v>0.83333333333333381</v>
      </c>
      <c r="G30" s="78"/>
      <c r="H30" s="78"/>
      <c r="M30" s="139"/>
      <c r="N30" s="139"/>
      <c r="O30" s="139"/>
      <c r="P30" s="89"/>
      <c r="Q30" s="89"/>
      <c r="R30" s="89"/>
    </row>
    <row r="31" spans="1:19" s="10" customFormat="1" ht="17.100000000000001" customHeight="1" thickTop="1" thickBot="1" x14ac:dyDescent="0.3">
      <c r="A31" s="41" t="s">
        <v>103</v>
      </c>
      <c r="B31" s="35">
        <v>0.34027777777777773</v>
      </c>
      <c r="C31" s="17">
        <f>C29+1</f>
        <v>21</v>
      </c>
      <c r="D31" s="141" t="str">
        <f>P4B</f>
        <v>Lille</v>
      </c>
      <c r="E31" s="17" t="s">
        <v>104</v>
      </c>
      <c r="F31" s="14"/>
      <c r="G31" s="21">
        <v>8</v>
      </c>
      <c r="H31" s="21">
        <v>1</v>
      </c>
      <c r="I31" s="14"/>
      <c r="J31" s="17" t="s">
        <v>105</v>
      </c>
      <c r="K31" s="141" t="str">
        <f>P5A</f>
        <v>Ermont</v>
      </c>
      <c r="L31" s="14"/>
      <c r="M31" s="136" t="s">
        <v>184</v>
      </c>
      <c r="N31" s="135" t="s">
        <v>182</v>
      </c>
      <c r="O31" s="135" t="s">
        <v>180</v>
      </c>
      <c r="P31" s="85"/>
      <c r="Q31" s="86"/>
      <c r="R31" s="87"/>
    </row>
    <row r="32" spans="1:19" s="10" customFormat="1" ht="17.100000000000001" customHeight="1" thickTop="1" thickBot="1" x14ac:dyDescent="0.3">
      <c r="A32" s="41" t="s">
        <v>103</v>
      </c>
      <c r="B32" s="35">
        <f>IF(G31="f",B31,IF(H31="f",B31,B31+durée2))</f>
        <v>0.36388888888888882</v>
      </c>
      <c r="C32" s="17">
        <f>C31+1</f>
        <v>22</v>
      </c>
      <c r="D32" s="141" t="str">
        <f>P5B</f>
        <v>Neuilly sur Marne</v>
      </c>
      <c r="E32" s="17" t="s">
        <v>106</v>
      </c>
      <c r="F32" s="14"/>
      <c r="G32" s="21">
        <v>6</v>
      </c>
      <c r="H32" s="21">
        <v>1</v>
      </c>
      <c r="I32" s="14"/>
      <c r="J32" s="17" t="s">
        <v>107</v>
      </c>
      <c r="K32" s="141" t="str">
        <f>P4A</f>
        <v>Lagny</v>
      </c>
      <c r="L32" s="14"/>
      <c r="M32" s="136" t="s">
        <v>185</v>
      </c>
      <c r="N32" s="135" t="s">
        <v>186</v>
      </c>
      <c r="O32" s="135" t="s">
        <v>187</v>
      </c>
      <c r="P32" s="85"/>
      <c r="Q32" s="86"/>
      <c r="R32" s="87"/>
    </row>
    <row r="33" spans="1:19" s="10" customFormat="1" ht="17.100000000000001" customHeight="1" thickTop="1" thickBot="1" x14ac:dyDescent="0.3">
      <c r="A33" s="41" t="s">
        <v>103</v>
      </c>
      <c r="B33" s="35">
        <f>IF(G32="f",B32,IF(H32="f",B32,B32+durée2))</f>
        <v>0.38749999999999996</v>
      </c>
      <c r="C33" s="17">
        <f>C32+1</f>
        <v>23</v>
      </c>
      <c r="D33" s="141" t="str">
        <f>P3A</f>
        <v>Clermont Ferrand</v>
      </c>
      <c r="E33" s="17" t="s">
        <v>108</v>
      </c>
      <c r="F33" s="14"/>
      <c r="G33" s="21">
        <v>1</v>
      </c>
      <c r="H33" s="21">
        <v>4</v>
      </c>
      <c r="I33" s="14"/>
      <c r="J33" s="17" t="s">
        <v>109</v>
      </c>
      <c r="K33" s="141" t="str">
        <f>P2B</f>
        <v>Nantes</v>
      </c>
      <c r="L33" s="14"/>
      <c r="M33" s="136" t="s">
        <v>188</v>
      </c>
      <c r="N33" s="135" t="s">
        <v>181</v>
      </c>
      <c r="O33" s="134" t="s">
        <v>184</v>
      </c>
      <c r="P33" s="85"/>
      <c r="Q33" s="86"/>
      <c r="R33" s="87"/>
    </row>
    <row r="34" spans="1:19" s="10" customFormat="1" ht="17.100000000000001" customHeight="1" thickTop="1" thickBot="1" x14ac:dyDescent="0.3">
      <c r="A34" s="41" t="s">
        <v>103</v>
      </c>
      <c r="B34" s="35">
        <f>IF(G33="f",B33,IF(H33="f",B33,B33+durée2))</f>
        <v>0.41111111111111109</v>
      </c>
      <c r="C34" s="17">
        <f>C33+1</f>
        <v>24</v>
      </c>
      <c r="D34" s="141" t="str">
        <f>P1A</f>
        <v>Le Puy en Velay</v>
      </c>
      <c r="E34" s="17" t="s">
        <v>110</v>
      </c>
      <c r="F34" s="14"/>
      <c r="G34" s="21">
        <v>3</v>
      </c>
      <c r="H34" s="21">
        <v>0</v>
      </c>
      <c r="I34" s="14"/>
      <c r="J34" s="17" t="s">
        <v>111</v>
      </c>
      <c r="K34" s="141" t="str">
        <f>IF(poules!H28="","",poules!H28)</f>
        <v>Lille</v>
      </c>
      <c r="L34" s="14"/>
      <c r="M34" s="136" t="s">
        <v>182</v>
      </c>
      <c r="N34" s="135" t="s">
        <v>180</v>
      </c>
      <c r="O34" s="134" t="s">
        <v>186</v>
      </c>
      <c r="P34" s="85"/>
      <c r="Q34" s="86"/>
      <c r="R34" s="87"/>
    </row>
    <row r="35" spans="1:19" s="10" customFormat="1" ht="17.100000000000001" customHeight="1" thickTop="1" thickBot="1" x14ac:dyDescent="0.3">
      <c r="A35" s="41" t="s">
        <v>103</v>
      </c>
      <c r="B35" s="35">
        <f>IF(G34="f",B34,IF(H34="f",B34,B34+durée2))</f>
        <v>0.43472222222222223</v>
      </c>
      <c r="C35" s="17">
        <f>C34+1</f>
        <v>25</v>
      </c>
      <c r="D35" s="141" t="str">
        <f>P2A</f>
        <v>Morlaix</v>
      </c>
      <c r="E35" s="17" t="s">
        <v>112</v>
      </c>
      <c r="F35" s="14"/>
      <c r="G35" s="21">
        <v>2</v>
      </c>
      <c r="H35" s="21">
        <v>5</v>
      </c>
      <c r="I35" s="14"/>
      <c r="J35" s="17" t="s">
        <v>113</v>
      </c>
      <c r="K35" s="141" t="str">
        <f>P3B</f>
        <v>Clamart</v>
      </c>
      <c r="L35" s="14"/>
      <c r="M35" s="136" t="s">
        <v>184</v>
      </c>
      <c r="N35" s="135" t="s">
        <v>185</v>
      </c>
      <c r="O35" s="134" t="s">
        <v>187</v>
      </c>
      <c r="P35" s="85"/>
      <c r="Q35" s="86"/>
      <c r="R35" s="87"/>
    </row>
    <row r="36" spans="1:19" s="10" customFormat="1" ht="14.4" thickTop="1" thickBot="1" x14ac:dyDescent="0.3">
      <c r="A36" s="41" t="s">
        <v>103</v>
      </c>
      <c r="B36" s="35">
        <f>IF(G35="f",B35,IF(H35="f",B35,B35+durée2))</f>
        <v>0.45833333333333337</v>
      </c>
      <c r="C36" s="17">
        <f>C35+1</f>
        <v>26</v>
      </c>
      <c r="D36" s="141" t="str">
        <f>IF(poules!H31="","",poules!H31)</f>
        <v>Neuilly sur Marne</v>
      </c>
      <c r="E36" s="17" t="s">
        <v>114</v>
      </c>
      <c r="F36" s="14"/>
      <c r="G36" s="21">
        <v>3</v>
      </c>
      <c r="H36" s="21">
        <v>5</v>
      </c>
      <c r="I36" s="14"/>
      <c r="J36" s="24" t="s">
        <v>115</v>
      </c>
      <c r="K36" s="141" t="str">
        <f>P1B</f>
        <v>HOPE</v>
      </c>
      <c r="L36" s="14"/>
      <c r="M36" s="136" t="s">
        <v>186</v>
      </c>
      <c r="N36" s="170" t="s">
        <v>181</v>
      </c>
      <c r="O36" s="134" t="s">
        <v>188</v>
      </c>
    </row>
    <row r="37" spans="1:19" s="10" customFormat="1" ht="16.5" hidden="1" customHeight="1" thickTop="1" thickBot="1" x14ac:dyDescent="0.3">
      <c r="A37" s="41" t="s">
        <v>103</v>
      </c>
      <c r="B37" s="35">
        <f>B36+durée2</f>
        <v>0.48194444444444451</v>
      </c>
      <c r="C37" s="181"/>
      <c r="D37" s="182"/>
      <c r="E37" s="182"/>
      <c r="F37" s="182"/>
      <c r="G37" s="182"/>
      <c r="H37" s="182"/>
      <c r="I37" s="182"/>
      <c r="J37" s="182"/>
      <c r="K37" s="182"/>
      <c r="L37" s="131"/>
      <c r="N37" s="169"/>
      <c r="O37" s="169"/>
      <c r="P37" s="131"/>
      <c r="Q37" s="131"/>
      <c r="R37" s="131"/>
    </row>
    <row r="38" spans="1:19" s="10" customFormat="1" ht="14.4" thickTop="1" thickBot="1" x14ac:dyDescent="0.3">
      <c r="A38" s="41" t="s">
        <v>103</v>
      </c>
      <c r="B38" s="35">
        <f>B37</f>
        <v>0.48194444444444451</v>
      </c>
      <c r="C38" s="17">
        <f>C36+1</f>
        <v>27</v>
      </c>
      <c r="D38" s="141" t="str">
        <f>poules!C35</f>
        <v>Clermont Ferrand</v>
      </c>
      <c r="E38" s="17" t="s">
        <v>116</v>
      </c>
      <c r="F38" s="14"/>
      <c r="G38" s="21">
        <v>2</v>
      </c>
      <c r="H38" s="21">
        <v>1</v>
      </c>
      <c r="I38" s="14"/>
      <c r="J38" s="24" t="s">
        <v>117</v>
      </c>
      <c r="K38" s="141" t="s">
        <v>33</v>
      </c>
      <c r="L38" s="14"/>
      <c r="M38" s="133" t="s">
        <v>180</v>
      </c>
      <c r="N38" s="134" t="s">
        <v>182</v>
      </c>
      <c r="O38" s="134" t="s">
        <v>184</v>
      </c>
    </row>
    <row r="39" spans="1:19" s="30" customFormat="1" ht="16.5" customHeight="1" thickTop="1" thickBot="1" x14ac:dyDescent="0.3">
      <c r="A39" s="41" t="s">
        <v>103</v>
      </c>
      <c r="B39" s="35">
        <f t="shared" ref="B39:B47" si="2">IF(G38="f",B38,IF(H38="f",B38,B38+durée2))</f>
        <v>0.50555555555555565</v>
      </c>
      <c r="C39" s="17">
        <f t="shared" ref="C39:C46" si="3">C38+1</f>
        <v>28</v>
      </c>
      <c r="D39" s="141" t="str">
        <f>poules!H35</f>
        <v>Nantes</v>
      </c>
      <c r="E39" s="17" t="s">
        <v>118</v>
      </c>
      <c r="F39" s="14"/>
      <c r="G39" s="21">
        <v>4</v>
      </c>
      <c r="H39" s="21">
        <v>1</v>
      </c>
      <c r="I39" s="14"/>
      <c r="J39" s="23" t="s">
        <v>119</v>
      </c>
      <c r="K39" s="141" t="s">
        <v>7</v>
      </c>
      <c r="L39" s="14"/>
      <c r="M39" s="133" t="s">
        <v>185</v>
      </c>
      <c r="N39" s="134" t="s">
        <v>187</v>
      </c>
      <c r="O39" s="134" t="s">
        <v>188</v>
      </c>
      <c r="P39" s="90"/>
      <c r="Q39" s="91"/>
      <c r="R39" s="92"/>
    </row>
    <row r="40" spans="1:19" s="10" customFormat="1" ht="16.5" customHeight="1" thickTop="1" thickBot="1" x14ac:dyDescent="0.3">
      <c r="A40" s="41" t="s">
        <v>103</v>
      </c>
      <c r="B40" s="35">
        <f t="shared" si="2"/>
        <v>0.52916666666666679</v>
      </c>
      <c r="C40" s="17">
        <f t="shared" si="3"/>
        <v>29</v>
      </c>
      <c r="D40" s="141" t="str">
        <f>poules!C39</f>
        <v>Morlaix</v>
      </c>
      <c r="E40" s="17" t="s">
        <v>120</v>
      </c>
      <c r="F40" s="14"/>
      <c r="G40" s="21">
        <v>4</v>
      </c>
      <c r="H40" s="21">
        <v>1</v>
      </c>
      <c r="I40" s="14"/>
      <c r="J40" s="23" t="s">
        <v>121</v>
      </c>
      <c r="K40" s="141" t="str">
        <f>poules!C40</f>
        <v>Neuilly sur Marne</v>
      </c>
      <c r="L40" s="14"/>
      <c r="M40" s="136" t="s">
        <v>181</v>
      </c>
      <c r="N40" s="135" t="s">
        <v>186</v>
      </c>
      <c r="O40" s="134" t="s">
        <v>180</v>
      </c>
      <c r="P40" s="90"/>
      <c r="Q40" s="91"/>
      <c r="R40" s="92"/>
    </row>
    <row r="41" spans="1:19" s="10" customFormat="1" ht="16.5" customHeight="1" thickTop="1" thickBot="1" x14ac:dyDescent="0.3">
      <c r="A41" s="41" t="s">
        <v>103</v>
      </c>
      <c r="B41" s="35">
        <f t="shared" si="2"/>
        <v>0.55277777777777792</v>
      </c>
      <c r="C41" s="17">
        <f t="shared" si="3"/>
        <v>30</v>
      </c>
      <c r="D41" s="141" t="str">
        <f>poules!H39</f>
        <v>Clamart</v>
      </c>
      <c r="E41" s="23" t="s">
        <v>122</v>
      </c>
      <c r="F41" s="14"/>
      <c r="G41" s="21">
        <v>5</v>
      </c>
      <c r="H41" s="21">
        <v>2</v>
      </c>
      <c r="I41" s="14"/>
      <c r="J41" s="23" t="s">
        <v>123</v>
      </c>
      <c r="K41" s="141" t="str">
        <f>poules!H40</f>
        <v>HOPE</v>
      </c>
      <c r="L41" s="14"/>
      <c r="M41" s="133" t="s">
        <v>182</v>
      </c>
      <c r="N41" s="140" t="s">
        <v>184</v>
      </c>
      <c r="O41" s="140" t="s">
        <v>187</v>
      </c>
      <c r="P41" s="90"/>
      <c r="Q41" s="91"/>
      <c r="R41" s="92"/>
    </row>
    <row r="42" spans="1:19" s="10" customFormat="1" ht="16.5" customHeight="1" thickTop="1" thickBot="1" x14ac:dyDescent="0.3">
      <c r="A42" s="41" t="s">
        <v>103</v>
      </c>
      <c r="B42" s="35">
        <f t="shared" si="2"/>
        <v>0.57638888888888906</v>
      </c>
      <c r="C42" s="17">
        <f t="shared" si="3"/>
        <v>31</v>
      </c>
      <c r="D42" s="141" t="str">
        <f>poules!C45</f>
        <v>Lagny</v>
      </c>
      <c r="E42" s="23" t="s">
        <v>124</v>
      </c>
      <c r="F42" s="14"/>
      <c r="G42" s="21">
        <v>1</v>
      </c>
      <c r="H42" s="21">
        <v>3</v>
      </c>
      <c r="I42" s="14"/>
      <c r="J42" s="23" t="s">
        <v>125</v>
      </c>
      <c r="K42" s="141" t="str">
        <f>poules!C46</f>
        <v>Ermont</v>
      </c>
      <c r="L42" s="14"/>
      <c r="M42" s="133" t="s">
        <v>188</v>
      </c>
      <c r="N42" s="140" t="s">
        <v>185</v>
      </c>
      <c r="O42" s="137" t="s">
        <v>181</v>
      </c>
      <c r="P42" s="90"/>
      <c r="Q42" s="91"/>
      <c r="R42" s="92"/>
    </row>
    <row r="43" spans="1:19" s="10" customFormat="1" ht="16.5" customHeight="1" thickTop="1" thickBot="1" x14ac:dyDescent="0.3">
      <c r="A43" s="41" t="s">
        <v>103</v>
      </c>
      <c r="B43" s="35">
        <f t="shared" si="2"/>
        <v>0.6000000000000002</v>
      </c>
      <c r="C43" s="17">
        <f t="shared" si="3"/>
        <v>32</v>
      </c>
      <c r="D43" s="141" t="str">
        <f>poules!H45</f>
        <v>Lille</v>
      </c>
      <c r="E43" s="23" t="s">
        <v>126</v>
      </c>
      <c r="F43" s="14"/>
      <c r="G43" s="21">
        <v>3</v>
      </c>
      <c r="H43" s="21">
        <v>4</v>
      </c>
      <c r="I43" s="14"/>
      <c r="J43" s="23" t="s">
        <v>127</v>
      </c>
      <c r="K43" s="141" t="s">
        <v>45</v>
      </c>
      <c r="L43" s="14"/>
      <c r="M43" s="133" t="s">
        <v>180</v>
      </c>
      <c r="N43" s="140" t="s">
        <v>184</v>
      </c>
      <c r="O43" s="140" t="s">
        <v>186</v>
      </c>
      <c r="P43" s="90"/>
      <c r="Q43" s="91"/>
      <c r="R43" s="92"/>
    </row>
    <row r="44" spans="1:19" s="10" customFormat="1" ht="16.5" customHeight="1" thickTop="1" thickBot="1" x14ac:dyDescent="0.3">
      <c r="A44" s="41" t="s">
        <v>103</v>
      </c>
      <c r="B44" s="35">
        <f t="shared" si="2"/>
        <v>0.62361111111111134</v>
      </c>
      <c r="C44" s="17">
        <f t="shared" si="3"/>
        <v>33</v>
      </c>
      <c r="D44" s="141" t="str">
        <f>poules!P45</f>
        <v>Clermont Ferrand</v>
      </c>
      <c r="E44" s="23" t="s">
        <v>128</v>
      </c>
      <c r="F44" s="14"/>
      <c r="G44" s="21">
        <v>5</v>
      </c>
      <c r="H44" s="21">
        <v>1</v>
      </c>
      <c r="I44" s="14"/>
      <c r="J44" s="23" t="s">
        <v>129</v>
      </c>
      <c r="K44" s="141" t="s">
        <v>29</v>
      </c>
      <c r="L44" s="14"/>
      <c r="M44" s="133" t="s">
        <v>181</v>
      </c>
      <c r="N44" s="140" t="s">
        <v>182</v>
      </c>
      <c r="O44" s="140" t="s">
        <v>185</v>
      </c>
      <c r="P44" s="90"/>
      <c r="Q44" s="91"/>
      <c r="R44" s="92"/>
    </row>
    <row r="45" spans="1:19" s="10" customFormat="1" ht="16.5" customHeight="1" thickTop="1" thickBot="1" x14ac:dyDescent="0.3">
      <c r="A45" s="41" t="s">
        <v>103</v>
      </c>
      <c r="B45" s="35">
        <f t="shared" si="2"/>
        <v>0.64722222222222248</v>
      </c>
      <c r="C45" s="17">
        <f t="shared" si="3"/>
        <v>34</v>
      </c>
      <c r="D45" s="141" t="s">
        <v>7</v>
      </c>
      <c r="E45" s="23" t="s">
        <v>130</v>
      </c>
      <c r="F45" s="14"/>
      <c r="G45" s="21">
        <v>5</v>
      </c>
      <c r="H45" s="21">
        <v>2</v>
      </c>
      <c r="I45" s="14"/>
      <c r="J45" s="23" t="s">
        <v>131</v>
      </c>
      <c r="K45" s="141" t="str">
        <f>poules!E50</f>
        <v>HOPE</v>
      </c>
      <c r="L45" s="14"/>
      <c r="M45" s="133" t="s">
        <v>186</v>
      </c>
      <c r="N45" s="140" t="s">
        <v>188</v>
      </c>
      <c r="O45" s="140" t="s">
        <v>180</v>
      </c>
      <c r="P45" s="90"/>
      <c r="Q45" s="91"/>
      <c r="R45" s="92"/>
    </row>
    <row r="46" spans="1:19" s="10" customFormat="1" ht="16.5" customHeight="1" thickTop="1" thickBot="1" x14ac:dyDescent="0.3">
      <c r="A46" s="41" t="s">
        <v>103</v>
      </c>
      <c r="B46" s="35">
        <f t="shared" si="2"/>
        <v>0.67083333333333361</v>
      </c>
      <c r="C46" s="17">
        <f t="shared" si="3"/>
        <v>35</v>
      </c>
      <c r="D46" s="141" t="s">
        <v>189</v>
      </c>
      <c r="E46" s="23" t="s">
        <v>132</v>
      </c>
      <c r="F46" s="14"/>
      <c r="G46" s="21">
        <v>3</v>
      </c>
      <c r="H46" s="21">
        <v>4</v>
      </c>
      <c r="I46" s="14"/>
      <c r="J46" s="23" t="s">
        <v>133</v>
      </c>
      <c r="K46" s="141" t="str">
        <f>poules!M50</f>
        <v>Clamart</v>
      </c>
      <c r="L46" s="14"/>
      <c r="M46" s="133" t="s">
        <v>182</v>
      </c>
      <c r="N46" s="140" t="s">
        <v>184</v>
      </c>
      <c r="O46" s="140" t="s">
        <v>187</v>
      </c>
      <c r="P46" s="90"/>
      <c r="Q46" s="91"/>
      <c r="R46" s="92"/>
      <c r="S46" s="66" t="s">
        <v>181</v>
      </c>
    </row>
    <row r="47" spans="1:19" s="10" customFormat="1" ht="15" thickTop="1" thickBot="1" x14ac:dyDescent="0.3">
      <c r="A47" s="41" t="s">
        <v>103</v>
      </c>
      <c r="B47" s="35">
        <f t="shared" si="2"/>
        <v>0.69444444444444475</v>
      </c>
      <c r="C47" s="37"/>
      <c r="D47" s="38"/>
      <c r="E47" s="38"/>
      <c r="F47" s="34"/>
      <c r="G47" s="39"/>
      <c r="H47" s="39"/>
      <c r="I47" s="34"/>
      <c r="J47" s="38"/>
      <c r="K47" s="38"/>
      <c r="L47" s="34"/>
      <c r="M47" s="40"/>
      <c r="N47" s="40"/>
      <c r="O47" s="40"/>
    </row>
    <row r="48" spans="1:19" ht="13.8" thickTop="1" x14ac:dyDescent="0.25">
      <c r="A48" s="10"/>
      <c r="B48" s="10"/>
      <c r="P48" s="10"/>
      <c r="Q48" s="10"/>
      <c r="R48" s="10"/>
      <c r="S48" s="10"/>
    </row>
  </sheetData>
  <mergeCells count="13">
    <mergeCell ref="P8:R8"/>
    <mergeCell ref="B6:D6"/>
    <mergeCell ref="G1:H1"/>
    <mergeCell ref="M7:O7"/>
    <mergeCell ref="G2:H2"/>
    <mergeCell ref="C37:K37"/>
    <mergeCell ref="B5:D5"/>
    <mergeCell ref="B4:F4"/>
    <mergeCell ref="K4:O4"/>
    <mergeCell ref="I1:O1"/>
    <mergeCell ref="I2:O2"/>
    <mergeCell ref="J3:O3"/>
    <mergeCell ref="C19:K19"/>
  </mergeCells>
  <phoneticPr fontId="0" type="noConversion"/>
  <printOptions horizontalCentered="1" verticalCentered="1"/>
  <pageMargins left="0.43307086614173229" right="0.59055118110236227" top="0.23622047244094491" bottom="0.23622047244094491" header="0.15748031496062992" footer="0.11811023622047245"/>
  <pageSetup paperSize="9" scale="84" fitToHeight="2" orientation="landscape" horizontalDpi="4294967293" r:id="rId1"/>
  <headerFooter alignWithMargins="0">
    <oddFooter xml:space="preserve">&amp;C&amp;"Arial,Gras"&amp;14
&amp;"Arial,Italique"&amp;11
</oddFooter>
  </headerFooter>
  <rowBreaks count="1" manualBreakCount="1">
    <brk id="30" max="17" man="1"/>
  </rowBreaks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93" r:id="rId5" name="Button 125">
              <controlPr defaultSize="0" print="0" autoFill="0" autoPict="0" macro="[0]!SetArbitres">
                <anchor moveWithCells="1" sizeWithCells="1">
                  <from>
                    <xdr:col>12</xdr:col>
                    <xdr:colOff>30480</xdr:colOff>
                    <xdr:row>7</xdr:row>
                    <xdr:rowOff>22860</xdr:rowOff>
                  </from>
                  <to>
                    <xdr:col>14</xdr:col>
                    <xdr:colOff>1005840</xdr:colOff>
                    <xdr:row>7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pageSetUpPr fitToPage="1"/>
  </sheetPr>
  <dimension ref="A1:Z53"/>
  <sheetViews>
    <sheetView zoomScaleNormal="100" workbookViewId="0">
      <selection activeCell="W15" sqref="W15"/>
    </sheetView>
  </sheetViews>
  <sheetFormatPr baseColWidth="10" defaultColWidth="11.44140625" defaultRowHeight="15.6" x14ac:dyDescent="0.3"/>
  <cols>
    <col min="1" max="1" width="2" style="15" customWidth="1"/>
    <col min="2" max="2" width="4.77734375" style="15" customWidth="1"/>
    <col min="3" max="3" width="18.5546875" style="15" customWidth="1"/>
    <col min="4" max="5" width="4.77734375" style="15" customWidth="1"/>
    <col min="6" max="7" width="4.77734375" style="16" customWidth="1"/>
    <col min="8" max="12" width="4.77734375" style="15" customWidth="1"/>
    <col min="13" max="13" width="5.44140625" style="15" customWidth="1"/>
    <col min="14" max="21" width="4.77734375" style="15" customWidth="1"/>
    <col min="22" max="22" width="4.5546875" style="15" customWidth="1"/>
    <col min="23" max="16384" width="11.44140625" style="15"/>
  </cols>
  <sheetData>
    <row r="1" spans="1:24" s="53" customFormat="1" ht="33.75" customHeight="1" x14ac:dyDescent="0.25">
      <c r="F1" s="54"/>
      <c r="H1" s="36" t="s">
        <v>79</v>
      </c>
      <c r="I1" s="55"/>
      <c r="J1" s="184" t="str">
        <f>saison</f>
        <v>2021 - 2022</v>
      </c>
      <c r="K1" s="185"/>
      <c r="L1" s="185"/>
      <c r="M1" s="185"/>
      <c r="N1" s="185"/>
      <c r="O1" s="185"/>
      <c r="P1" s="185"/>
      <c r="Q1" s="185"/>
      <c r="R1" s="185"/>
      <c r="S1" s="186"/>
    </row>
    <row r="2" spans="1:24" s="53" customFormat="1" ht="30" customHeight="1" x14ac:dyDescent="0.25">
      <c r="F2" s="54"/>
      <c r="G2" s="54"/>
      <c r="H2" s="36" t="s">
        <v>80</v>
      </c>
      <c r="J2" s="214" t="str">
        <f>lieu</f>
        <v>Le Puy en Velay</v>
      </c>
      <c r="K2" s="215"/>
      <c r="L2" s="215"/>
      <c r="M2" s="215"/>
      <c r="N2" s="215"/>
      <c r="O2" s="215"/>
      <c r="P2" s="215"/>
      <c r="Q2" s="215"/>
      <c r="R2" s="215"/>
      <c r="S2" s="216"/>
    </row>
    <row r="3" spans="1:24" s="55" customFormat="1" ht="25.5" customHeight="1" x14ac:dyDescent="0.25">
      <c r="L3" s="187" t="s">
        <v>81</v>
      </c>
      <c r="M3" s="187"/>
      <c r="N3" s="187"/>
      <c r="O3" s="187"/>
      <c r="P3" s="187"/>
      <c r="Q3" s="187"/>
      <c r="R3" s="187"/>
      <c r="S3" s="187"/>
    </row>
    <row r="4" spans="1:24" s="55" customFormat="1" ht="21" customHeight="1" x14ac:dyDescent="0.25">
      <c r="A4" s="36" t="s">
        <v>82</v>
      </c>
      <c r="C4" s="184" t="str">
        <f>date</f>
        <v>12 et 13 mars 2022</v>
      </c>
      <c r="D4" s="185"/>
      <c r="E4" s="185"/>
      <c r="F4" s="185"/>
      <c r="G4" s="185"/>
      <c r="H4" s="186"/>
      <c r="I4" s="193" t="s">
        <v>83</v>
      </c>
      <c r="J4" s="193"/>
      <c r="K4" s="194"/>
      <c r="L4" s="184" t="str">
        <f>catégorie</f>
        <v>Division 1 Masculine manche 2</v>
      </c>
      <c r="M4" s="185"/>
      <c r="N4" s="185"/>
      <c r="O4" s="185"/>
      <c r="P4" s="185"/>
      <c r="Q4" s="185"/>
      <c r="R4" s="185"/>
      <c r="S4" s="185"/>
      <c r="T4" s="186"/>
    </row>
    <row r="5" spans="1:24" s="66" customFormat="1" ht="18" customHeight="1" x14ac:dyDescent="0.25">
      <c r="A5" s="64"/>
      <c r="B5" s="183" t="s">
        <v>84</v>
      </c>
      <c r="C5" s="183"/>
      <c r="D5" s="183"/>
      <c r="E5" s="65" t="str">
        <f>edurée1</f>
        <v>2*11' + 2' mi-temps + 1 temps mort / équipe +4' inter match= 30'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4"/>
      <c r="R5" s="64"/>
      <c r="S5" s="64"/>
      <c r="T5" s="64"/>
      <c r="U5" s="64"/>
      <c r="V5" s="64"/>
      <c r="W5" s="64"/>
      <c r="X5" s="64"/>
    </row>
    <row r="6" spans="1:24" s="66" customFormat="1" ht="18" customHeight="1" x14ac:dyDescent="0.25">
      <c r="A6" s="64"/>
      <c r="B6" s="183" t="s">
        <v>85</v>
      </c>
      <c r="C6" s="183"/>
      <c r="D6" s="183"/>
      <c r="E6" s="65" t="str">
        <f>edurée2</f>
        <v>2*13' + 2' mi-temps + 1 temps mort / équipe +4' inter match= 34'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4"/>
      <c r="R6" s="64"/>
      <c r="S6" s="64"/>
      <c r="T6" s="64"/>
      <c r="U6" s="64"/>
      <c r="V6" s="64"/>
      <c r="W6" s="64"/>
      <c r="X6" s="64"/>
    </row>
    <row r="7" spans="1:24" s="53" customFormat="1" ht="30.75" customHeight="1" thickBot="1" x14ac:dyDescent="0.3">
      <c r="A7" s="56"/>
      <c r="B7" s="57"/>
      <c r="C7" s="42" t="s">
        <v>15</v>
      </c>
      <c r="D7" s="70">
        <v>1</v>
      </c>
      <c r="E7" s="70">
        <v>3</v>
      </c>
      <c r="F7" s="70">
        <v>5</v>
      </c>
      <c r="G7" s="71">
        <v>7</v>
      </c>
      <c r="H7" s="71">
        <v>9</v>
      </c>
      <c r="I7" s="71">
        <v>11</v>
      </c>
      <c r="J7" s="71">
        <v>13</v>
      </c>
      <c r="K7" s="71">
        <v>15</v>
      </c>
      <c r="L7" s="71">
        <v>17</v>
      </c>
      <c r="M7" s="71">
        <v>19</v>
      </c>
      <c r="N7" s="32" t="s">
        <v>134</v>
      </c>
      <c r="O7" s="32" t="s">
        <v>135</v>
      </c>
      <c r="P7" s="213" t="s">
        <v>136</v>
      </c>
      <c r="Q7" s="213"/>
      <c r="R7" s="213" t="s">
        <v>137</v>
      </c>
      <c r="S7" s="213"/>
      <c r="T7" s="56"/>
      <c r="U7" s="56"/>
      <c r="V7" s="56"/>
      <c r="W7" s="56"/>
      <c r="X7" s="56"/>
    </row>
    <row r="8" spans="1:24" ht="16.8" thickTop="1" thickBot="1" x14ac:dyDescent="0.35">
      <c r="A8" s="122"/>
      <c r="B8" s="98">
        <v>1</v>
      </c>
      <c r="C8" s="150" t="str">
        <f>_PA1</f>
        <v>Le Puy en Velay</v>
      </c>
      <c r="D8" s="98">
        <f>IF(grille!G9&lt;&gt;"",grille!G9,"")</f>
        <v>5</v>
      </c>
      <c r="E8" s="151"/>
      <c r="F8" s="151"/>
      <c r="G8" s="152">
        <f>IF(grille!G15&lt;&gt;"",grille!G15,"")</f>
        <v>3</v>
      </c>
      <c r="H8" s="151"/>
      <c r="I8" s="151"/>
      <c r="J8" s="152">
        <f>IF(grille!G22&lt;&gt;"",grille!G22,"")</f>
        <v>5</v>
      </c>
      <c r="K8" s="151"/>
      <c r="L8" s="151"/>
      <c r="M8" s="153">
        <f>IF(grille!G28&lt;&gt;"",grille!G28,"")</f>
        <v>6</v>
      </c>
      <c r="N8" s="119">
        <f>CalculPointMatchs(D8,D9,G8,G10,J8,J11,M8,M12)</f>
        <v>16.000019000000002</v>
      </c>
      <c r="O8" s="25">
        <f>IF(AND(N8&lt;&gt;"",N9&lt;&gt;"",N10&lt;&gt;"",N11&lt;&gt;"",N12&lt;&gt;""),RANK(N8,N$8:N$12),"")</f>
        <v>1</v>
      </c>
      <c r="P8" s="206">
        <f>SUM(D9,G10,J11,M12)</f>
        <v>0</v>
      </c>
      <c r="Q8" s="205"/>
      <c r="R8" s="204">
        <f>SUM(D8:M8)</f>
        <v>19</v>
      </c>
      <c r="S8" s="205"/>
      <c r="T8" s="122"/>
      <c r="U8" s="122"/>
      <c r="V8" s="122"/>
      <c r="W8" s="122"/>
      <c r="X8" s="122"/>
    </row>
    <row r="9" spans="1:24" ht="16.8" thickTop="1" thickBot="1" x14ac:dyDescent="0.35">
      <c r="A9" s="122"/>
      <c r="B9" s="154">
        <v>3</v>
      </c>
      <c r="C9" s="155" t="str">
        <f>_PA3</f>
        <v>Lagny</v>
      </c>
      <c r="D9" s="154">
        <f>IF(grille!H9&lt;&gt;"",grille!H9,"")</f>
        <v>0</v>
      </c>
      <c r="E9" s="156"/>
      <c r="F9" s="18">
        <f>IF(grille!G13&lt;&gt;"",grille!G13,"")</f>
        <v>1</v>
      </c>
      <c r="G9" s="156"/>
      <c r="H9" s="156"/>
      <c r="I9" s="18">
        <f>IF(grille!G20&lt;&gt;"",grille!G20,"")</f>
        <v>0</v>
      </c>
      <c r="J9" s="156"/>
      <c r="K9" s="156"/>
      <c r="L9" s="18">
        <f>IF(grille!G26&lt;&gt;"",grille!G26,"")</f>
        <v>3</v>
      </c>
      <c r="M9" s="157"/>
      <c r="N9" s="119">
        <f>CalculPointMatchs(D9,D8,F9,F12,I9,I10,L9,L11)</f>
        <v>6.9780040000000003</v>
      </c>
      <c r="O9" s="25">
        <f>IF(AND(N8&lt;&gt;"",N9&lt;&gt;"",N10&lt;&gt;"",N11&lt;&gt;"",N12&lt;&gt;""),RANK(N9,N$8:N$12),"")</f>
        <v>4</v>
      </c>
      <c r="P9" s="206">
        <f>SUM(D8,F12,I10,L11)</f>
        <v>22</v>
      </c>
      <c r="Q9" s="205"/>
      <c r="R9" s="204">
        <f>SUM(D9:M9)</f>
        <v>4</v>
      </c>
      <c r="S9" s="205"/>
      <c r="T9" s="122"/>
      <c r="U9" s="122"/>
      <c r="V9" s="122"/>
      <c r="W9" s="122"/>
      <c r="X9" s="122"/>
    </row>
    <row r="10" spans="1:24" ht="16.8" thickTop="1" thickBot="1" x14ac:dyDescent="0.35">
      <c r="A10" s="122"/>
      <c r="B10" s="154">
        <v>5</v>
      </c>
      <c r="C10" s="155" t="str">
        <f>_PA5</f>
        <v>Clermont Ferrand</v>
      </c>
      <c r="D10" s="158"/>
      <c r="E10" s="18">
        <f>IF(grille!G11&lt;&gt;"",grille!G11,"")</f>
        <v>6</v>
      </c>
      <c r="F10" s="156"/>
      <c r="G10" s="18">
        <f>IF(grille!H15&lt;&gt;"",grille!H15,"")</f>
        <v>0</v>
      </c>
      <c r="H10" s="156"/>
      <c r="I10" s="18">
        <f>IF(grille!H20&lt;&gt;"",grille!H20,"")</f>
        <v>7</v>
      </c>
      <c r="J10" s="156"/>
      <c r="K10" s="18">
        <f>IF(grille!G24&lt;&gt;"",grille!G24,"")</f>
        <v>1</v>
      </c>
      <c r="L10" s="156"/>
      <c r="M10" s="157"/>
      <c r="N10" s="119">
        <f>CalculPointMatchs(E10,E11,G10,G8,I10,I9,K10,K12)</f>
        <v>9.9950139999999994</v>
      </c>
      <c r="O10" s="25">
        <f>IF(AND(N8&lt;&gt;"",N9&lt;&gt;"",N10&lt;&gt;"",N11&lt;&gt;"",N12&lt;&gt;""),RANK(N10,N$8:N$12),"")</f>
        <v>3</v>
      </c>
      <c r="P10" s="206">
        <f>SUM(E11,G8,I9,K12)</f>
        <v>5</v>
      </c>
      <c r="Q10" s="205"/>
      <c r="R10" s="204">
        <f>SUM(D10:M10)</f>
        <v>14</v>
      </c>
      <c r="S10" s="205"/>
      <c r="T10" s="122"/>
      <c r="U10" s="122"/>
      <c r="V10" s="122"/>
      <c r="W10" s="122"/>
      <c r="X10" s="122"/>
    </row>
    <row r="11" spans="1:24" ht="16.8" thickTop="1" thickBot="1" x14ac:dyDescent="0.35">
      <c r="A11" s="122"/>
      <c r="B11" s="154">
        <v>7</v>
      </c>
      <c r="C11" s="155" t="str">
        <f>_PA7</f>
        <v>Ermont</v>
      </c>
      <c r="D11" s="158"/>
      <c r="E11" s="18">
        <f>IF(grille!H11&lt;&gt;"",grille!H11,"")</f>
        <v>0</v>
      </c>
      <c r="F11" s="156"/>
      <c r="G11" s="156"/>
      <c r="H11" s="18">
        <f>IF(grille!G17&lt;&gt;"",grille!G17,"")</f>
        <v>1</v>
      </c>
      <c r="I11" s="156"/>
      <c r="J11" s="18">
        <f>IF(grille!H22&lt;&gt;"",grille!H22,"")</f>
        <v>0</v>
      </c>
      <c r="K11" s="156"/>
      <c r="L11" s="18">
        <f>IF(grille!H26&lt;&gt;"",grille!H26,"")</f>
        <v>2</v>
      </c>
      <c r="M11" s="157"/>
      <c r="N11" s="119">
        <f>CalculPointMatchs(E11,E10,H11,H12,J11,J8,L11,L9)</f>
        <v>3.9810029999999998</v>
      </c>
      <c r="O11" s="25">
        <f>IF(AND(N8&lt;&gt;"",N9&lt;&gt;"",N10&lt;&gt;"",N11&lt;&gt;"",N12&lt;&gt;""),RANK(N11,N$8:N$12),"")</f>
        <v>5</v>
      </c>
      <c r="P11" s="206">
        <f>SUM(E10,H12,J8,L9)</f>
        <v>19</v>
      </c>
      <c r="Q11" s="205"/>
      <c r="R11" s="204">
        <f>SUM(D11:M11)</f>
        <v>3</v>
      </c>
      <c r="S11" s="205"/>
      <c r="T11" s="122"/>
      <c r="U11" s="122"/>
      <c r="V11" s="122"/>
      <c r="W11" s="122"/>
      <c r="X11" s="122"/>
    </row>
    <row r="12" spans="1:24" ht="16.8" thickTop="1" thickBot="1" x14ac:dyDescent="0.35">
      <c r="A12" s="122"/>
      <c r="B12" s="159">
        <v>9</v>
      </c>
      <c r="C12" s="160" t="str">
        <f>_PA9</f>
        <v>Morlaix</v>
      </c>
      <c r="D12" s="161"/>
      <c r="E12" s="162"/>
      <c r="F12" s="19">
        <f>IF(grille!H13&lt;&gt;"",grille!H13,"")</f>
        <v>8</v>
      </c>
      <c r="G12" s="162"/>
      <c r="H12" s="19">
        <f>IF(grille!H17&lt;&gt;"",grille!H17,"")</f>
        <v>5</v>
      </c>
      <c r="I12" s="162"/>
      <c r="J12" s="162"/>
      <c r="K12" s="19">
        <f>IF(grille!H24&lt;&gt;"",grille!H24,"")</f>
        <v>2</v>
      </c>
      <c r="L12" s="162"/>
      <c r="M12" s="26">
        <f>IF(grille!H28&lt;&gt;"",grille!H28,"")</f>
        <v>0</v>
      </c>
      <c r="N12" s="120">
        <f>CalculPointMatchs(F12,F9,H12,H11,K12,K10,M12,M8)</f>
        <v>12.991015000000001</v>
      </c>
      <c r="O12" s="25">
        <f>IF(AND(N8&lt;&gt;"",N9&lt;&gt;"",N10&lt;&gt;"",N11&lt;&gt;"",N12&lt;&gt;""),RANK(N12,N$8:N$12),"")</f>
        <v>2</v>
      </c>
      <c r="P12" s="206">
        <f>SUM(F9,H11,K10,M8)</f>
        <v>9</v>
      </c>
      <c r="Q12" s="205"/>
      <c r="R12" s="204">
        <f>SUM(D12:M12)</f>
        <v>15</v>
      </c>
      <c r="S12" s="205"/>
      <c r="T12" s="122"/>
      <c r="U12" s="122"/>
      <c r="V12" s="122"/>
      <c r="W12" s="122"/>
      <c r="X12" s="122"/>
    </row>
    <row r="13" spans="1:24" x14ac:dyDescent="0.3">
      <c r="A13" s="122"/>
      <c r="B13" s="97"/>
      <c r="C13" s="96"/>
      <c r="D13" s="97"/>
      <c r="E13" s="163"/>
      <c r="F13" s="27"/>
      <c r="G13" s="27"/>
      <c r="H13" s="97"/>
      <c r="I13" s="97"/>
      <c r="J13" s="97"/>
      <c r="K13" s="97"/>
      <c r="L13" s="97"/>
      <c r="M13" s="97"/>
      <c r="N13" s="97"/>
      <c r="O13" s="97"/>
      <c r="P13" s="96"/>
      <c r="Q13" s="96"/>
      <c r="R13" s="96"/>
      <c r="S13" s="96"/>
      <c r="T13" s="96"/>
      <c r="U13" s="96"/>
      <c r="V13" s="96"/>
      <c r="W13" s="96"/>
      <c r="X13" s="122"/>
    </row>
    <row r="14" spans="1:24" x14ac:dyDescent="0.3">
      <c r="A14" s="122"/>
      <c r="B14" s="97"/>
      <c r="C14" s="96"/>
      <c r="D14" s="97"/>
      <c r="E14" s="163"/>
      <c r="F14" s="27"/>
      <c r="G14" s="27"/>
      <c r="H14" s="97"/>
      <c r="I14" s="97"/>
      <c r="J14" s="97"/>
      <c r="K14" s="97"/>
      <c r="L14" s="97"/>
      <c r="M14" s="97"/>
      <c r="N14" s="97"/>
      <c r="O14" s="97"/>
      <c r="P14" s="96"/>
      <c r="Q14" s="96"/>
      <c r="R14" s="96"/>
      <c r="S14" s="96"/>
      <c r="T14" s="96"/>
      <c r="U14" s="96"/>
      <c r="V14" s="96"/>
      <c r="W14" s="96"/>
      <c r="X14" s="122"/>
    </row>
    <row r="15" spans="1:24" s="31" customFormat="1" ht="30" customHeight="1" thickBot="1" x14ac:dyDescent="0.3">
      <c r="A15" s="53"/>
      <c r="B15" s="164"/>
      <c r="C15" s="36" t="s">
        <v>31</v>
      </c>
      <c r="D15" s="70">
        <v>2</v>
      </c>
      <c r="E15" s="70">
        <v>4</v>
      </c>
      <c r="F15" s="70">
        <v>6</v>
      </c>
      <c r="G15" s="71">
        <v>8</v>
      </c>
      <c r="H15" s="71">
        <v>10</v>
      </c>
      <c r="I15" s="71">
        <v>12</v>
      </c>
      <c r="J15" s="71">
        <v>14</v>
      </c>
      <c r="K15" s="71">
        <v>16</v>
      </c>
      <c r="L15" s="71">
        <v>18</v>
      </c>
      <c r="M15" s="71">
        <v>20</v>
      </c>
      <c r="N15" s="32" t="s">
        <v>134</v>
      </c>
      <c r="O15" s="32" t="s">
        <v>135</v>
      </c>
      <c r="P15" s="213" t="s">
        <v>136</v>
      </c>
      <c r="Q15" s="213"/>
      <c r="R15" s="213" t="s">
        <v>137</v>
      </c>
      <c r="S15" s="213"/>
      <c r="T15" s="53"/>
      <c r="U15" s="53"/>
      <c r="V15" s="53"/>
      <c r="W15" s="53"/>
      <c r="X15" s="53"/>
    </row>
    <row r="16" spans="1:24" ht="16.8" thickTop="1" thickBot="1" x14ac:dyDescent="0.35">
      <c r="A16" s="122"/>
      <c r="B16" s="98">
        <v>2</v>
      </c>
      <c r="C16" s="150" t="str">
        <f>_PB2</f>
        <v>Lille</v>
      </c>
      <c r="D16" s="98">
        <f>IF(grille!G10&lt;&gt;"",grille!G10,"")</f>
        <v>2</v>
      </c>
      <c r="E16" s="151"/>
      <c r="F16" s="151"/>
      <c r="G16" s="152">
        <f>IF(grille!G16&lt;&gt;"",grille!G16,"")</f>
        <v>0</v>
      </c>
      <c r="H16" s="151"/>
      <c r="I16" s="151"/>
      <c r="J16" s="152">
        <f>IF(grille!G23&lt;&gt;"",grille!G23,"")</f>
        <v>1</v>
      </c>
      <c r="K16" s="151"/>
      <c r="L16" s="151"/>
      <c r="M16" s="153">
        <f>IF(grille!G29&lt;&gt;"",grille!G29,"")</f>
        <v>4</v>
      </c>
      <c r="N16" s="119">
        <f>CalculPointMatchs(D16,D17,G16,G18,J16,J19,M16,M20)</f>
        <v>6.9840070000000001</v>
      </c>
      <c r="O16" s="25">
        <f>IF(AND(N16&lt;&gt;"",N17&lt;&gt;"",N18&lt;&gt;"",N19&lt;&gt;"",N20&lt;&gt;""),RANK(N16,N$16:N$20),"")</f>
        <v>4</v>
      </c>
      <c r="P16" s="206">
        <f>SUM(D17,G18,J19,M20)</f>
        <v>16</v>
      </c>
      <c r="Q16" s="205"/>
      <c r="R16" s="204">
        <f>SUM(D16:M16)</f>
        <v>7</v>
      </c>
      <c r="S16" s="205"/>
      <c r="T16" s="122"/>
      <c r="U16" s="122"/>
      <c r="V16" s="122"/>
      <c r="W16" s="122"/>
      <c r="X16" s="122"/>
    </row>
    <row r="17" spans="2:22" ht="16.8" thickTop="1" thickBot="1" x14ac:dyDescent="0.35">
      <c r="B17" s="154">
        <v>4</v>
      </c>
      <c r="C17" s="155" t="str">
        <f>_PB4</f>
        <v>Nantes</v>
      </c>
      <c r="D17" s="154">
        <f>IF(grille!H10&lt;&gt;"",grille!H10,"")</f>
        <v>6</v>
      </c>
      <c r="E17" s="156"/>
      <c r="F17" s="18">
        <f>IF(grille!G14&lt;&gt;"",grille!G14,"")</f>
        <v>6</v>
      </c>
      <c r="G17" s="156"/>
      <c r="H17" s="156"/>
      <c r="I17" s="18">
        <f>IF(grille!G21&lt;&gt;"",grille!G21,"")</f>
        <v>3</v>
      </c>
      <c r="J17" s="156"/>
      <c r="K17" s="156"/>
      <c r="L17" s="18">
        <f>IF(grille!G27&lt;&gt;"",grille!G27,"")</f>
        <v>1</v>
      </c>
      <c r="M17" s="157"/>
      <c r="N17" s="119">
        <f>CalculPointMatchs(D17,D16,F17,F20,I17,I18,L17,L19)</f>
        <v>12.994016</v>
      </c>
      <c r="O17" s="25">
        <f>IF(AND(N16&lt;&gt;"",N17&lt;&gt;"",N18&lt;&gt;"",N19&lt;&gt;"",N20&lt;&gt;""),RANK(N17,N$16:N$20),"")</f>
        <v>2</v>
      </c>
      <c r="P17" s="206">
        <f>SUM(D16,F20,I18,L19)</f>
        <v>6</v>
      </c>
      <c r="Q17" s="205"/>
      <c r="R17" s="204">
        <f>SUM(D17:M17)</f>
        <v>16</v>
      </c>
      <c r="S17" s="205"/>
      <c r="T17" s="122"/>
      <c r="U17" s="122"/>
      <c r="V17" s="122"/>
    </row>
    <row r="18" spans="2:22" ht="16.8" thickTop="1" thickBot="1" x14ac:dyDescent="0.35">
      <c r="B18" s="154">
        <v>6</v>
      </c>
      <c r="C18" s="155" t="str">
        <f>_PB6</f>
        <v>HOPE</v>
      </c>
      <c r="D18" s="158"/>
      <c r="E18" s="18">
        <f>IF(grille!G12&lt;&gt;"",grille!G12,"")</f>
        <v>3</v>
      </c>
      <c r="F18" s="156"/>
      <c r="G18" s="18">
        <f>IF(grille!H16&lt;&gt;"",grille!H16,"")</f>
        <v>4</v>
      </c>
      <c r="H18" s="156"/>
      <c r="I18" s="18">
        <f>IF(grille!H21&lt;&gt;"",grille!H21,"")</f>
        <v>1</v>
      </c>
      <c r="J18" s="156"/>
      <c r="K18" s="18">
        <f>IF(grille!G25&lt;&gt;"",grille!G25,"")</f>
        <v>4</v>
      </c>
      <c r="L18" s="156"/>
      <c r="M18" s="157"/>
      <c r="N18" s="119">
        <f>CalculPointMatchs(E18,E19,G18,G16,I18,I17,K18,K20)</f>
        <v>12.995011999999999</v>
      </c>
      <c r="O18" s="25">
        <f>IF(AND(N16&lt;&gt;"",N17&lt;&gt;"",N18&lt;&gt;"",N19&lt;&gt;"",N20&lt;&gt;""),RANK(N18,N$16:N$20),"")</f>
        <v>1</v>
      </c>
      <c r="P18" s="206">
        <f>SUM(E19,G16,I17,K20)</f>
        <v>5</v>
      </c>
      <c r="Q18" s="205"/>
      <c r="R18" s="204">
        <f>SUM(D18:M18)</f>
        <v>12</v>
      </c>
      <c r="S18" s="205"/>
      <c r="T18" s="122"/>
      <c r="U18" s="122"/>
      <c r="V18" s="122"/>
    </row>
    <row r="19" spans="2:22" ht="16.8" thickTop="1" thickBot="1" x14ac:dyDescent="0.35">
      <c r="B19" s="154">
        <v>8</v>
      </c>
      <c r="C19" s="155" t="str">
        <f>_PB8</f>
        <v>Clamart</v>
      </c>
      <c r="D19" s="158"/>
      <c r="E19" s="18">
        <f>IF(grille!H12&lt;&gt;"",grille!H12,"")</f>
        <v>1</v>
      </c>
      <c r="F19" s="156"/>
      <c r="G19" s="156"/>
      <c r="H19" s="18">
        <f>IF(grille!G18&lt;&gt;"",grille!G18,"")</f>
        <v>3</v>
      </c>
      <c r="I19" s="156"/>
      <c r="J19" s="18">
        <f>IF(grille!H23&lt;&gt;"",grille!H23,"")</f>
        <v>3</v>
      </c>
      <c r="K19" s="156"/>
      <c r="L19" s="18">
        <f>IF(grille!H27&lt;&gt;"",grille!H27,"")</f>
        <v>2</v>
      </c>
      <c r="M19" s="157"/>
      <c r="N19" s="119">
        <f>CalculPointMatchs(E19,E18,H19,H20,J19,J16,L19,L17)</f>
        <v>12.994009</v>
      </c>
      <c r="O19" s="25">
        <f>IF(AND(N16&lt;&gt;"",N17&lt;&gt;"",N18&lt;&gt;"",N19&lt;&gt;"",N20&lt;&gt;""),RANK(N19,N$16:N$20),"")</f>
        <v>3</v>
      </c>
      <c r="P19" s="206">
        <f>SUM(E18,H20,J16,L17)</f>
        <v>6</v>
      </c>
      <c r="Q19" s="205"/>
      <c r="R19" s="204">
        <f>SUM(D19:M19)</f>
        <v>9</v>
      </c>
      <c r="S19" s="205"/>
      <c r="T19" s="122"/>
      <c r="U19" s="122"/>
      <c r="V19" s="122"/>
    </row>
    <row r="20" spans="2:22" ht="16.8" thickTop="1" thickBot="1" x14ac:dyDescent="0.35">
      <c r="B20" s="159">
        <v>10</v>
      </c>
      <c r="C20" s="160" t="str">
        <f>_PB10</f>
        <v>Neuilly sur Marne</v>
      </c>
      <c r="D20" s="161"/>
      <c r="E20" s="162"/>
      <c r="F20" s="19">
        <f>IF(grille!H14&lt;&gt;"",grille!H14,"")</f>
        <v>1</v>
      </c>
      <c r="G20" s="162"/>
      <c r="H20" s="19">
        <f>IF(grille!H18&lt;&gt;"",grille!H18,"")</f>
        <v>1</v>
      </c>
      <c r="I20" s="162"/>
      <c r="J20" s="162"/>
      <c r="K20" s="19">
        <f>IF(grille!H25&lt;&gt;"",grille!H25,"")</f>
        <v>1</v>
      </c>
      <c r="L20" s="162"/>
      <c r="M20" s="26">
        <f>IF(grille!H29&lt;&gt;"",grille!H29,"")</f>
        <v>3</v>
      </c>
      <c r="N20" s="120">
        <f>CalculPointMatchs(F20,F17,H20,H19,K20,K18,M20,M16)</f>
        <v>3.983006</v>
      </c>
      <c r="O20" s="25">
        <f>IF(AND(N16&lt;&gt;"",N17&lt;&gt;"",N18&lt;&gt;"",N19&lt;&gt;"",N20&lt;&gt;""),RANK(N20,N$16:N$20),"")</f>
        <v>5</v>
      </c>
      <c r="P20" s="206">
        <f>SUM(F17,H19,K18,M16)</f>
        <v>17</v>
      </c>
      <c r="Q20" s="205"/>
      <c r="R20" s="204">
        <f>SUM(D20:M20)</f>
        <v>6</v>
      </c>
      <c r="S20" s="205"/>
      <c r="T20" s="122"/>
      <c r="U20" s="122"/>
      <c r="V20" s="122"/>
    </row>
    <row r="21" spans="2:22" x14ac:dyDescent="0.3">
      <c r="B21" s="96"/>
      <c r="C21" s="96"/>
      <c r="D21" s="96"/>
      <c r="E21" s="121"/>
      <c r="F21" s="27"/>
      <c r="G21" s="27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</row>
    <row r="22" spans="2:22" ht="16.2" thickBot="1" x14ac:dyDescent="0.35">
      <c r="B22" s="96"/>
      <c r="C22" s="96"/>
      <c r="D22" s="96" t="s">
        <v>138</v>
      </c>
      <c r="E22" s="121"/>
      <c r="F22" s="27"/>
      <c r="G22" s="27"/>
      <c r="H22" s="96"/>
      <c r="I22" s="96"/>
      <c r="J22" s="96"/>
      <c r="K22" s="96"/>
      <c r="L22" s="96" t="s">
        <v>139</v>
      </c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2:22" x14ac:dyDescent="0.3">
      <c r="B23" s="122"/>
      <c r="C23" s="122"/>
      <c r="D23" s="98" t="s">
        <v>104</v>
      </c>
      <c r="E23" s="201" t="str">
        <f>IFERROR(INDEX(C16:C20,MATCH(4,O16:O20,0)),"")</f>
        <v>Lille</v>
      </c>
      <c r="F23" s="202"/>
      <c r="G23" s="202"/>
      <c r="H23" s="203"/>
      <c r="I23" s="123">
        <f>IF(grille!G31&lt;&gt;"",grille!G31,"")</f>
        <v>8</v>
      </c>
      <c r="J23" s="124"/>
      <c r="K23" s="27"/>
      <c r="L23" s="98" t="s">
        <v>106</v>
      </c>
      <c r="M23" s="201" t="str">
        <f>IFERROR(INDEX(C16:C20,MATCH(5,O16:O20,0)),"")</f>
        <v>Neuilly sur Marne</v>
      </c>
      <c r="N23" s="202"/>
      <c r="O23" s="202"/>
      <c r="P23" s="203"/>
      <c r="Q23" s="123">
        <f>IF(grille!G32&lt;&gt;"",grille!G32,"")</f>
        <v>6</v>
      </c>
      <c r="R23" s="96"/>
      <c r="S23" s="122"/>
      <c r="T23" s="122"/>
      <c r="U23" s="122"/>
      <c r="V23" s="122"/>
    </row>
    <row r="24" spans="2:22" ht="16.2" thickBot="1" x14ac:dyDescent="0.35">
      <c r="B24" s="122"/>
      <c r="C24" s="122"/>
      <c r="D24" s="99" t="s">
        <v>105</v>
      </c>
      <c r="E24" s="198" t="str">
        <f>IFERROR(INDEX(C8:C12,MATCH(5,O8:O12,0)),"")</f>
        <v>Ermont</v>
      </c>
      <c r="F24" s="199"/>
      <c r="G24" s="199"/>
      <c r="H24" s="200"/>
      <c r="I24" s="125">
        <f>IF(grille!H31&lt;&gt;"",grille!H31,"")</f>
        <v>1</v>
      </c>
      <c r="J24" s="124"/>
      <c r="K24" s="27"/>
      <c r="L24" s="99" t="s">
        <v>107</v>
      </c>
      <c r="M24" s="198" t="str">
        <f>IFERROR(INDEX(C8:C12,MATCH(4,O8:O12,0)),"")</f>
        <v>Lagny</v>
      </c>
      <c r="N24" s="199"/>
      <c r="O24" s="199"/>
      <c r="P24" s="200"/>
      <c r="Q24" s="125">
        <f>IF(grille!H32&lt;&gt;"",grille!H32,"")</f>
        <v>1</v>
      </c>
      <c r="R24" s="96"/>
      <c r="S24" s="122"/>
      <c r="T24" s="122"/>
      <c r="U24" s="122"/>
      <c r="V24" s="122"/>
    </row>
    <row r="25" spans="2:22" x14ac:dyDescent="0.3">
      <c r="B25" s="96"/>
      <c r="C25" s="96"/>
      <c r="D25" s="96"/>
      <c r="E25" s="121"/>
      <c r="F25" s="27"/>
      <c r="G25" s="27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</row>
    <row r="26" spans="2:22" ht="16.2" thickBot="1" x14ac:dyDescent="0.35">
      <c r="B26" s="96" t="s">
        <v>140</v>
      </c>
      <c r="C26" s="96"/>
      <c r="D26" s="96"/>
      <c r="E26" s="27"/>
      <c r="F26" s="96"/>
      <c r="G26" s="96" t="s">
        <v>141</v>
      </c>
      <c r="H26" s="96"/>
      <c r="I26" s="96"/>
      <c r="J26" s="96"/>
      <c r="K26" s="96"/>
      <c r="L26" s="96"/>
      <c r="M26" s="96"/>
      <c r="N26" s="96"/>
      <c r="O26" s="122"/>
      <c r="P26" s="122"/>
      <c r="Q26" s="122"/>
      <c r="R26" s="122"/>
      <c r="S26" s="122"/>
      <c r="T26" s="122"/>
      <c r="U26" s="122"/>
      <c r="V26" s="122"/>
    </row>
    <row r="27" spans="2:22" x14ac:dyDescent="0.3">
      <c r="B27" s="98" t="s">
        <v>108</v>
      </c>
      <c r="C27" s="148" t="str">
        <f>IFERROR(INDEX(C8:C12,MATCH(3,O8:O12,0)),"")</f>
        <v>Clermont Ferrand</v>
      </c>
      <c r="D27" s="123">
        <f>IF(grille!G33&lt;&gt;"",grille!G33,"")</f>
        <v>1</v>
      </c>
      <c r="E27" s="27"/>
      <c r="F27" s="124"/>
      <c r="G27" s="98" t="s">
        <v>110</v>
      </c>
      <c r="H27" s="207" t="str">
        <f>IFERROR(INDEX(C8:C12,MATCH(1,O8:O12,0)),"")</f>
        <v>Le Puy en Velay</v>
      </c>
      <c r="I27" s="208"/>
      <c r="J27" s="208"/>
      <c r="K27" s="209"/>
      <c r="L27" s="123">
        <f>IF(grille!G34&lt;&gt;"",grille!G34,"")</f>
        <v>3</v>
      </c>
      <c r="M27" s="96"/>
      <c r="N27" s="96"/>
      <c r="O27" s="122"/>
      <c r="P27" s="122"/>
      <c r="Q27" s="122"/>
      <c r="R27" s="122"/>
      <c r="S27" s="122"/>
      <c r="T27" s="122"/>
      <c r="U27" s="124"/>
      <c r="V27" s="122"/>
    </row>
    <row r="28" spans="2:22" ht="16.2" thickBot="1" x14ac:dyDescent="0.35">
      <c r="B28" s="99" t="s">
        <v>109</v>
      </c>
      <c r="C28" s="149" t="str">
        <f>IFERROR(INDEX(C16:C20,MATCH(2,O16:O20,0)),"")</f>
        <v>Nantes</v>
      </c>
      <c r="D28" s="125">
        <f>IF(grille!H33&lt;&gt;"",grille!H33,"")</f>
        <v>4</v>
      </c>
      <c r="E28" s="27"/>
      <c r="F28" s="124"/>
      <c r="G28" s="99" t="s">
        <v>111</v>
      </c>
      <c r="H28" s="210" t="str">
        <f>Gagnant(E23:I24)</f>
        <v>Lille</v>
      </c>
      <c r="I28" s="211"/>
      <c r="J28" s="211"/>
      <c r="K28" s="212"/>
      <c r="L28" s="125">
        <f>IF(grille!H34&lt;&gt;"",grille!H34,"")</f>
        <v>0</v>
      </c>
      <c r="M28" s="96"/>
      <c r="N28" s="96"/>
      <c r="O28" s="122"/>
      <c r="P28" s="122"/>
      <c r="Q28" s="122"/>
      <c r="R28" s="122"/>
      <c r="S28" s="122"/>
      <c r="T28" s="122"/>
      <c r="U28" s="122"/>
      <c r="V28" s="122"/>
    </row>
    <row r="29" spans="2:22" x14ac:dyDescent="0.3">
      <c r="B29" s="96"/>
      <c r="C29" s="96"/>
      <c r="D29" s="96"/>
      <c r="E29" s="96"/>
      <c r="F29" s="27"/>
      <c r="G29" s="27"/>
      <c r="H29" s="96"/>
      <c r="I29" s="96"/>
      <c r="J29" s="96"/>
      <c r="K29" s="96"/>
      <c r="L29" s="96"/>
      <c r="M29" s="96"/>
      <c r="N29" s="124"/>
      <c r="O29" s="96"/>
      <c r="P29" s="96"/>
      <c r="Q29" s="96"/>
      <c r="R29" s="96"/>
      <c r="S29" s="96"/>
      <c r="T29" s="122"/>
      <c r="U29" s="122"/>
      <c r="V29" s="122"/>
    </row>
    <row r="30" spans="2:22" ht="16.2" thickBot="1" x14ac:dyDescent="0.35">
      <c r="B30" s="96" t="s">
        <v>142</v>
      </c>
      <c r="C30" s="96"/>
      <c r="D30" s="96"/>
      <c r="E30" s="96"/>
      <c r="F30" s="27"/>
      <c r="G30" s="96" t="s">
        <v>143</v>
      </c>
      <c r="H30" s="96"/>
      <c r="I30" s="96"/>
      <c r="J30" s="96"/>
      <c r="K30" s="96"/>
      <c r="L30" s="96"/>
      <c r="M30" s="96"/>
      <c r="N30" s="124"/>
      <c r="O30" s="96"/>
      <c r="P30" s="96"/>
      <c r="Q30" s="96"/>
      <c r="R30" s="96"/>
      <c r="S30" s="96"/>
      <c r="T30" s="122"/>
      <c r="U30" s="122"/>
      <c r="V30" s="122"/>
    </row>
    <row r="31" spans="2:22" x14ac:dyDescent="0.3">
      <c r="B31" s="98" t="s">
        <v>112</v>
      </c>
      <c r="C31" s="148" t="str">
        <f>IFERROR(INDEX(C8:C12,MATCH(2,O8:O12,0)),"")</f>
        <v>Morlaix</v>
      </c>
      <c r="D31" s="123">
        <f>IF(grille!G35&lt;&gt;"",grille!G35,"")</f>
        <v>2</v>
      </c>
      <c r="E31" s="96"/>
      <c r="F31" s="27"/>
      <c r="G31" s="98" t="s">
        <v>114</v>
      </c>
      <c r="H31" s="207" t="str">
        <f>Gagnant(M23:Q24)</f>
        <v>Neuilly sur Marne</v>
      </c>
      <c r="I31" s="208"/>
      <c r="J31" s="208"/>
      <c r="K31" s="209"/>
      <c r="L31" s="123">
        <f>IF(grille!G36&lt;&gt;"",grille!G36,"")</f>
        <v>3</v>
      </c>
      <c r="M31" s="96"/>
      <c r="N31" s="124"/>
      <c r="O31" s="96"/>
      <c r="P31" s="96"/>
      <c r="Q31" s="96"/>
      <c r="R31" s="96"/>
      <c r="S31" s="96"/>
      <c r="T31" s="122"/>
      <c r="U31" s="122"/>
      <c r="V31" s="122"/>
    </row>
    <row r="32" spans="2:22" ht="16.2" thickBot="1" x14ac:dyDescent="0.35">
      <c r="B32" s="99" t="s">
        <v>113</v>
      </c>
      <c r="C32" s="149" t="str">
        <f>IFERROR(INDEX(C16:C20,MATCH(3,O16:O20,0)),"")</f>
        <v>Clamart</v>
      </c>
      <c r="D32" s="125">
        <f>IF(grille!H35&lt;&gt;"",grille!H35,"")</f>
        <v>5</v>
      </c>
      <c r="E32" s="96"/>
      <c r="F32" s="27"/>
      <c r="G32" s="99" t="s">
        <v>115</v>
      </c>
      <c r="H32" s="210" t="str">
        <f>IFERROR(INDEX(C16:C20,MATCH(1,O16:O20,0)),"")</f>
        <v>HOPE</v>
      </c>
      <c r="I32" s="211"/>
      <c r="J32" s="211"/>
      <c r="K32" s="212"/>
      <c r="L32" s="125">
        <f>IF(grille!H36&lt;&gt;"",grille!H36,"")</f>
        <v>5</v>
      </c>
      <c r="M32" s="96"/>
      <c r="N32" s="124"/>
      <c r="O32" s="122"/>
      <c r="P32" s="122"/>
      <c r="Q32" s="122"/>
      <c r="R32" s="122"/>
      <c r="S32" s="122"/>
      <c r="T32" s="122"/>
      <c r="U32" s="122"/>
      <c r="V32" s="122"/>
    </row>
    <row r="33" spans="1:26" x14ac:dyDescent="0.3">
      <c r="A33" s="122"/>
      <c r="B33" s="96"/>
      <c r="C33" s="96"/>
      <c r="D33" s="96"/>
      <c r="E33" s="96"/>
      <c r="F33" s="27"/>
      <c r="G33" s="27"/>
      <c r="H33" s="27"/>
      <c r="I33" s="27"/>
      <c r="J33" s="27"/>
      <c r="K33" s="27"/>
      <c r="L33" s="27"/>
      <c r="M33" s="96"/>
      <c r="N33" s="124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spans="1:26" ht="16.2" thickBot="1" x14ac:dyDescent="0.35">
      <c r="A34" s="122"/>
      <c r="B34" s="96" t="s">
        <v>144</v>
      </c>
      <c r="C34" s="96"/>
      <c r="D34" s="96"/>
      <c r="E34" s="27"/>
      <c r="F34" s="96"/>
      <c r="G34" s="96" t="s">
        <v>145</v>
      </c>
      <c r="H34" s="96"/>
      <c r="I34" s="96"/>
      <c r="J34" s="96"/>
      <c r="K34" s="96"/>
      <c r="L34" s="96"/>
      <c r="M34" s="96"/>
      <c r="N34" s="96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spans="1:26" x14ac:dyDescent="0.3">
      <c r="A35" s="122"/>
      <c r="B35" s="98" t="s">
        <v>116</v>
      </c>
      <c r="C35" s="126" t="str">
        <f>Perdant(C27:D28)</f>
        <v>Clermont Ferrand</v>
      </c>
      <c r="D35" s="123">
        <f>IF(grille!G38&lt;&gt;"",grille!G38,"")</f>
        <v>2</v>
      </c>
      <c r="E35" s="27"/>
      <c r="F35" s="124"/>
      <c r="G35" s="98" t="s">
        <v>118</v>
      </c>
      <c r="H35" s="201" t="str">
        <f>Gagnant(C27:D28)</f>
        <v>Nantes</v>
      </c>
      <c r="I35" s="202"/>
      <c r="J35" s="202"/>
      <c r="K35" s="203"/>
      <c r="L35" s="123">
        <f>IF(grille!G39&lt;&gt;"",grille!G39,"")</f>
        <v>4</v>
      </c>
      <c r="M35" s="96"/>
      <c r="N35" s="96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spans="1:26" ht="16.2" thickBot="1" x14ac:dyDescent="0.35">
      <c r="A36" s="122"/>
      <c r="B36" s="99" t="s">
        <v>117</v>
      </c>
      <c r="C36" s="26" t="str">
        <f>Perdant(H27:L28)</f>
        <v>Lille</v>
      </c>
      <c r="D36" s="125">
        <f>IF(grille!H38&lt;&gt;"",grille!H38,"")</f>
        <v>1</v>
      </c>
      <c r="E36" s="27"/>
      <c r="F36" s="124"/>
      <c r="G36" s="99" t="s">
        <v>119</v>
      </c>
      <c r="H36" s="198" t="str">
        <f>Gagnant(H27:L28)</f>
        <v>Le Puy en Velay</v>
      </c>
      <c r="I36" s="199"/>
      <c r="J36" s="199"/>
      <c r="K36" s="200"/>
      <c r="L36" s="125">
        <f>IF(grille!H39&lt;&gt;"",grille!H39,"")</f>
        <v>1</v>
      </c>
      <c r="M36" s="96"/>
      <c r="N36" s="96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spans="1:26" x14ac:dyDescent="0.3">
      <c r="A37" s="122"/>
      <c r="B37" s="97"/>
      <c r="C37" s="96"/>
      <c r="D37" s="96"/>
      <c r="E37" s="96"/>
      <c r="F37" s="27"/>
      <c r="G37" s="27"/>
      <c r="H37" s="96"/>
      <c r="I37" s="96"/>
      <c r="J37" s="96"/>
      <c r="K37" s="96"/>
      <c r="L37" s="96"/>
      <c r="M37" s="96"/>
      <c r="N37" s="124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spans="1:26" ht="16.2" thickBot="1" x14ac:dyDescent="0.35">
      <c r="A38" s="122"/>
      <c r="B38" s="97" t="s">
        <v>146</v>
      </c>
      <c r="C38" s="96"/>
      <c r="D38" s="96"/>
      <c r="E38" s="96"/>
      <c r="F38" s="27"/>
      <c r="G38" s="97" t="s">
        <v>147</v>
      </c>
      <c r="H38" s="96"/>
      <c r="I38" s="96"/>
      <c r="J38" s="96"/>
      <c r="K38" s="96"/>
      <c r="L38" s="96"/>
      <c r="M38" s="96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spans="1:26" x14ac:dyDescent="0.3">
      <c r="A39" s="122"/>
      <c r="B39" s="98" t="s">
        <v>120</v>
      </c>
      <c r="C39" s="146" t="str">
        <f>Perdant(C31:D32)</f>
        <v>Morlaix</v>
      </c>
      <c r="D39" s="123">
        <f>IF(grille!G40&lt;&gt;"",grille!G40,"")</f>
        <v>4</v>
      </c>
      <c r="E39" s="124"/>
      <c r="F39" s="27"/>
      <c r="G39" s="98" t="s">
        <v>122</v>
      </c>
      <c r="H39" s="201" t="str">
        <f>Gagnant(C31:D32)</f>
        <v>Clamart</v>
      </c>
      <c r="I39" s="202"/>
      <c r="J39" s="202"/>
      <c r="K39" s="203"/>
      <c r="L39" s="123">
        <f>IF(grille!G41&lt;&gt;"",grille!G41,"")</f>
        <v>5</v>
      </c>
      <c r="M39" s="96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spans="1:26" ht="16.2" thickBot="1" x14ac:dyDescent="0.35">
      <c r="A40" s="122"/>
      <c r="B40" s="99" t="s">
        <v>121</v>
      </c>
      <c r="C40" s="147" t="str">
        <f>Perdant(H31:L32)</f>
        <v>Neuilly sur Marne</v>
      </c>
      <c r="D40" s="125">
        <f>IF(grille!H40&lt;&gt;"",grille!H40,"")</f>
        <v>1</v>
      </c>
      <c r="E40" s="124"/>
      <c r="F40" s="27"/>
      <c r="G40" s="99" t="s">
        <v>123</v>
      </c>
      <c r="H40" s="198" t="str">
        <f>Gagnant(H31:L32)</f>
        <v>HOPE</v>
      </c>
      <c r="I40" s="199"/>
      <c r="J40" s="199"/>
      <c r="K40" s="200"/>
      <c r="L40" s="125">
        <f>IF(grille!H41&lt;&gt;"",grille!H41,"")</f>
        <v>2</v>
      </c>
      <c r="M40" s="96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spans="1:26" x14ac:dyDescent="0.3">
      <c r="A41" s="122"/>
      <c r="B41" s="97"/>
      <c r="C41" s="96"/>
      <c r="D41" s="96"/>
      <c r="E41" s="96"/>
      <c r="F41" s="27"/>
      <c r="G41" s="27"/>
      <c r="H41" s="96"/>
      <c r="I41" s="96"/>
      <c r="J41" s="96"/>
      <c r="K41" s="96"/>
      <c r="L41" s="96"/>
      <c r="M41" s="96"/>
      <c r="N41" s="124"/>
      <c r="O41" s="96"/>
      <c r="P41" s="96"/>
      <c r="Q41" s="96"/>
      <c r="R41" s="96"/>
      <c r="S41" s="96"/>
      <c r="T41" s="96"/>
      <c r="U41" s="96"/>
      <c r="V41" s="96"/>
      <c r="W41" s="122"/>
      <c r="X41" s="122"/>
      <c r="Y41" s="122"/>
      <c r="Z41" s="122"/>
    </row>
    <row r="42" spans="1:26" x14ac:dyDescent="0.3">
      <c r="A42" s="122"/>
      <c r="B42" s="97"/>
      <c r="C42" s="96"/>
      <c r="D42" s="96"/>
      <c r="E42" s="96"/>
      <c r="F42" s="27"/>
      <c r="G42" s="27"/>
      <c r="H42" s="96"/>
      <c r="I42" s="96"/>
      <c r="J42" s="96"/>
      <c r="K42" s="96"/>
      <c r="L42" s="96"/>
      <c r="M42" s="96"/>
      <c r="N42" s="124"/>
      <c r="O42" s="96"/>
      <c r="P42" s="96"/>
      <c r="Q42" s="96"/>
      <c r="R42" s="96"/>
      <c r="S42" s="96"/>
      <c r="T42" s="96"/>
      <c r="U42" s="96"/>
      <c r="V42" s="96"/>
      <c r="W42" s="122"/>
      <c r="X42" s="122"/>
      <c r="Y42" s="122"/>
      <c r="Z42" s="122"/>
    </row>
    <row r="43" spans="1:26" x14ac:dyDescent="0.3">
      <c r="A43" s="128"/>
      <c r="B43" s="127"/>
      <c r="C43" s="128"/>
      <c r="D43" s="128"/>
      <c r="E43" s="128"/>
      <c r="F43" s="129"/>
      <c r="G43" s="129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</row>
    <row r="44" spans="1:26" ht="16.2" thickBot="1" x14ac:dyDescent="0.35">
      <c r="A44" s="122"/>
      <c r="B44" s="97"/>
      <c r="C44" s="20" t="s">
        <v>148</v>
      </c>
      <c r="D44" s="20"/>
      <c r="E44" s="20"/>
      <c r="F44" s="27"/>
      <c r="G44" s="27"/>
      <c r="H44" s="20" t="s">
        <v>149</v>
      </c>
      <c r="I44" s="20"/>
      <c r="J44" s="20"/>
      <c r="K44" s="20"/>
      <c r="L44" s="20"/>
      <c r="M44" s="20"/>
      <c r="N44" s="28"/>
      <c r="O44" s="20"/>
      <c r="P44" s="20" t="s">
        <v>150</v>
      </c>
      <c r="Q44" s="20"/>
      <c r="R44" s="20"/>
      <c r="S44" s="96"/>
      <c r="T44" s="96"/>
      <c r="U44" s="96"/>
      <c r="V44" s="96"/>
      <c r="W44" s="122"/>
      <c r="X44" s="122"/>
      <c r="Y44" s="122"/>
      <c r="Z44" s="122"/>
    </row>
    <row r="45" spans="1:26" x14ac:dyDescent="0.3">
      <c r="A45" s="122"/>
      <c r="B45" s="98" t="s">
        <v>124</v>
      </c>
      <c r="C45" s="146" t="str">
        <f>Perdant(M23:Q24)</f>
        <v>Lagny</v>
      </c>
      <c r="D45" s="123">
        <f>IF(grille!G42&lt;&gt;"",grille!G42,"")</f>
        <v>1</v>
      </c>
      <c r="E45" s="33"/>
      <c r="F45" s="27"/>
      <c r="G45" s="98" t="s">
        <v>126</v>
      </c>
      <c r="H45" s="201" t="str">
        <f>Perdant(C35:D36)</f>
        <v>Lille</v>
      </c>
      <c r="I45" s="202"/>
      <c r="J45" s="202"/>
      <c r="K45" s="203"/>
      <c r="L45" s="123">
        <f>IF(grille!G43&lt;&gt;"",grille!G43,"")</f>
        <v>3</v>
      </c>
      <c r="M45" s="33"/>
      <c r="N45" s="130"/>
      <c r="O45" s="98" t="s">
        <v>128</v>
      </c>
      <c r="P45" s="201" t="str">
        <f>Gagnant(C35:D36)</f>
        <v>Clermont Ferrand</v>
      </c>
      <c r="Q45" s="202"/>
      <c r="R45" s="202"/>
      <c r="S45" s="203"/>
      <c r="T45" s="123">
        <f>IF(grille!G44&lt;&gt;"",grille!G44,"")</f>
        <v>5</v>
      </c>
      <c r="U45" s="33"/>
      <c r="V45" s="96"/>
      <c r="W45" s="122"/>
      <c r="X45" s="122"/>
      <c r="Y45" s="122"/>
      <c r="Z45" s="122"/>
    </row>
    <row r="46" spans="1:26" ht="16.2" thickBot="1" x14ac:dyDescent="0.35">
      <c r="A46" s="122"/>
      <c r="B46" s="99" t="s">
        <v>125</v>
      </c>
      <c r="C46" s="147" t="str">
        <f>Perdant(E23:I24)</f>
        <v>Ermont</v>
      </c>
      <c r="D46" s="125">
        <f>IF(grille!H42&lt;&gt;"",grille!H42,"")</f>
        <v>3</v>
      </c>
      <c r="E46" s="33"/>
      <c r="F46" s="27"/>
      <c r="G46" s="99" t="s">
        <v>127</v>
      </c>
      <c r="H46" s="198" t="str">
        <f>Perdant(C39:D40)</f>
        <v>Neuilly sur Marne</v>
      </c>
      <c r="I46" s="199"/>
      <c r="J46" s="199"/>
      <c r="K46" s="200"/>
      <c r="L46" s="125">
        <f>IF(grille!H43&lt;&gt;"",grille!H43,"")</f>
        <v>4</v>
      </c>
      <c r="M46" s="33"/>
      <c r="N46" s="130"/>
      <c r="O46" s="99" t="s">
        <v>129</v>
      </c>
      <c r="P46" s="198" t="str">
        <f>Gagnant(C39:D40)</f>
        <v>Morlaix</v>
      </c>
      <c r="Q46" s="199"/>
      <c r="R46" s="199"/>
      <c r="S46" s="200"/>
      <c r="T46" s="125">
        <f>IF(grille!H44&lt;&gt;"",grille!H44,"")</f>
        <v>1</v>
      </c>
      <c r="U46" s="33"/>
      <c r="V46" s="96"/>
      <c r="W46" s="122"/>
      <c r="X46" s="122"/>
      <c r="Y46" s="122"/>
      <c r="Z46" s="122"/>
    </row>
    <row r="47" spans="1:26" x14ac:dyDescent="0.3">
      <c r="A47" s="122"/>
      <c r="B47" s="96"/>
      <c r="C47" s="96"/>
      <c r="D47" s="96"/>
      <c r="E47" s="96"/>
      <c r="F47" s="27"/>
      <c r="G47" s="27"/>
      <c r="H47" s="96"/>
      <c r="I47" s="96"/>
      <c r="J47" s="96"/>
      <c r="K47" s="96"/>
      <c r="L47" s="96"/>
      <c r="M47" s="96"/>
      <c r="N47" s="124"/>
      <c r="O47" s="96"/>
      <c r="P47" s="96"/>
      <c r="Q47" s="96"/>
      <c r="R47" s="96"/>
      <c r="S47" s="96"/>
      <c r="T47" s="96"/>
      <c r="U47" s="96"/>
      <c r="V47" s="96"/>
      <c r="W47" s="122"/>
      <c r="X47" s="122"/>
      <c r="Y47" s="122"/>
      <c r="Z47" s="122"/>
    </row>
    <row r="48" spans="1:26" ht="16.2" thickBot="1" x14ac:dyDescent="0.35">
      <c r="A48" s="122"/>
      <c r="B48" s="96"/>
      <c r="C48" s="27"/>
      <c r="D48" s="27"/>
      <c r="E48" s="20" t="s">
        <v>151</v>
      </c>
      <c r="F48" s="20"/>
      <c r="G48" s="29"/>
      <c r="H48" s="20"/>
      <c r="I48" s="20"/>
      <c r="J48" s="20"/>
      <c r="K48" s="28"/>
      <c r="L48" s="20"/>
      <c r="M48" s="20" t="s">
        <v>152</v>
      </c>
      <c r="N48" s="20"/>
      <c r="O48" s="96"/>
      <c r="P48" s="96"/>
      <c r="Q48" s="96"/>
      <c r="R48" s="96"/>
      <c r="S48" s="96"/>
      <c r="T48" s="122"/>
      <c r="U48" s="122"/>
      <c r="V48" s="122"/>
      <c r="W48" s="122"/>
      <c r="X48" s="122"/>
      <c r="Y48" s="122"/>
      <c r="Z48" s="122"/>
    </row>
    <row r="49" spans="1:26" x14ac:dyDescent="0.3">
      <c r="A49" s="122"/>
      <c r="B49" s="124"/>
      <c r="C49" s="27"/>
      <c r="D49" s="98" t="s">
        <v>130</v>
      </c>
      <c r="E49" s="201" t="str">
        <f>Perdant(H35:L36)</f>
        <v>Le Puy en Velay</v>
      </c>
      <c r="F49" s="202"/>
      <c r="G49" s="202"/>
      <c r="H49" s="203"/>
      <c r="I49" s="123">
        <f>IF(grille!G45&lt;&gt;"",grille!G45,"")</f>
        <v>5</v>
      </c>
      <c r="J49" s="33"/>
      <c r="K49" s="124"/>
      <c r="L49" s="98" t="s">
        <v>132</v>
      </c>
      <c r="M49" s="201" t="str">
        <f>Gagnant(H35:L36)</f>
        <v>Nantes</v>
      </c>
      <c r="N49" s="202"/>
      <c r="O49" s="202"/>
      <c r="P49" s="203"/>
      <c r="Q49" s="123">
        <f>IF(grille!G46&lt;&gt;"",grille!G46,"")</f>
        <v>3</v>
      </c>
      <c r="R49" s="33"/>
      <c r="S49" s="96"/>
      <c r="T49" s="122"/>
      <c r="U49" s="122"/>
      <c r="V49" s="122"/>
      <c r="W49" s="122"/>
      <c r="X49" s="122"/>
      <c r="Y49" s="122"/>
      <c r="Z49" s="122"/>
    </row>
    <row r="50" spans="1:26" ht="16.2" thickBot="1" x14ac:dyDescent="0.35">
      <c r="A50" s="122"/>
      <c r="B50" s="124"/>
      <c r="C50" s="27"/>
      <c r="D50" s="99" t="s">
        <v>131</v>
      </c>
      <c r="E50" s="198" t="str">
        <f>Perdant(H39:L40)</f>
        <v>HOPE</v>
      </c>
      <c r="F50" s="199"/>
      <c r="G50" s="199"/>
      <c r="H50" s="200"/>
      <c r="I50" s="125">
        <f>IF(grille!H45&lt;&gt;"",grille!H45,"")</f>
        <v>2</v>
      </c>
      <c r="J50" s="33"/>
      <c r="K50" s="124"/>
      <c r="L50" s="99" t="s">
        <v>133</v>
      </c>
      <c r="M50" s="198" t="str">
        <f>Gagnant(H39:L40)</f>
        <v>Clamart</v>
      </c>
      <c r="N50" s="199"/>
      <c r="O50" s="199"/>
      <c r="P50" s="200"/>
      <c r="Q50" s="125">
        <f>IF(grille!H46&lt;&gt;"",grille!H46,"")</f>
        <v>4</v>
      </c>
      <c r="R50" s="33"/>
      <c r="S50" s="96"/>
      <c r="T50" s="122"/>
      <c r="U50" s="122"/>
      <c r="V50" s="122"/>
      <c r="W50" s="122"/>
      <c r="X50" s="122"/>
      <c r="Y50" s="122"/>
      <c r="Z50" s="122"/>
    </row>
    <row r="52" spans="1:26" x14ac:dyDescent="0.3">
      <c r="A52" s="128"/>
      <c r="B52" s="128"/>
      <c r="C52" s="128"/>
      <c r="D52" s="128"/>
      <c r="E52" s="128"/>
      <c r="F52" s="129"/>
      <c r="G52" s="129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</row>
    <row r="53" spans="1:26" x14ac:dyDescent="0.3">
      <c r="A53" s="128"/>
      <c r="B53" s="128"/>
      <c r="C53" s="128"/>
      <c r="D53" s="128"/>
      <c r="E53" s="128"/>
      <c r="F53" s="129"/>
      <c r="G53" s="129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</row>
  </sheetData>
  <mergeCells count="52">
    <mergeCell ref="B5:D5"/>
    <mergeCell ref="P17:Q17"/>
    <mergeCell ref="R9:S9"/>
    <mergeCell ref="C4:H4"/>
    <mergeCell ref="B6:D6"/>
    <mergeCell ref="P7:Q7"/>
    <mergeCell ref="R7:S7"/>
    <mergeCell ref="R11:S11"/>
    <mergeCell ref="R12:S12"/>
    <mergeCell ref="R15:S15"/>
    <mergeCell ref="J1:S1"/>
    <mergeCell ref="P19:Q19"/>
    <mergeCell ref="R19:S19"/>
    <mergeCell ref="P15:Q15"/>
    <mergeCell ref="P8:Q8"/>
    <mergeCell ref="P9:Q9"/>
    <mergeCell ref="P10:Q10"/>
    <mergeCell ref="P11:Q11"/>
    <mergeCell ref="P12:Q12"/>
    <mergeCell ref="L4:T4"/>
    <mergeCell ref="J2:S2"/>
    <mergeCell ref="I4:K4"/>
    <mergeCell ref="L3:S3"/>
    <mergeCell ref="R8:S8"/>
    <mergeCell ref="R16:S16"/>
    <mergeCell ref="R10:S10"/>
    <mergeCell ref="P18:Q18"/>
    <mergeCell ref="P16:Q16"/>
    <mergeCell ref="E49:H49"/>
    <mergeCell ref="M49:P49"/>
    <mergeCell ref="M23:P23"/>
    <mergeCell ref="H46:K46"/>
    <mergeCell ref="H40:K40"/>
    <mergeCell ref="E23:H23"/>
    <mergeCell ref="H28:K28"/>
    <mergeCell ref="H39:K39"/>
    <mergeCell ref="E50:H50"/>
    <mergeCell ref="P45:S45"/>
    <mergeCell ref="H36:K36"/>
    <mergeCell ref="H35:K35"/>
    <mergeCell ref="R17:S17"/>
    <mergeCell ref="R18:S18"/>
    <mergeCell ref="P20:Q20"/>
    <mergeCell ref="M50:P50"/>
    <mergeCell ref="M24:P24"/>
    <mergeCell ref="P46:S46"/>
    <mergeCell ref="E24:H24"/>
    <mergeCell ref="R20:S20"/>
    <mergeCell ref="H27:K27"/>
    <mergeCell ref="H45:K45"/>
    <mergeCell ref="H31:K31"/>
    <mergeCell ref="H32:K32"/>
  </mergeCells>
  <phoneticPr fontId="0" type="noConversion"/>
  <conditionalFormatting sqref="P8:P15 Q9:Q15 P7:S7 R13:S15 R8:R12">
    <cfRule type="cellIs" dxfId="2" priority="6" stopIfTrue="1" operator="equal">
      <formula>0</formula>
    </cfRule>
  </conditionalFormatting>
  <conditionalFormatting sqref="N7:N20">
    <cfRule type="cellIs" dxfId="1" priority="5" stopIfTrue="1" operator="equal">
      <formula>0</formula>
    </cfRule>
  </conditionalFormatting>
  <conditionalFormatting sqref="P16:P20 Q17:Q20 R16:R20">
    <cfRule type="cellIs" dxfId="0" priority="1" stopIfTrue="1" operator="equal">
      <formula>0</formula>
    </cfRule>
  </conditionalFormatting>
  <pageMargins left="0.74803149606299213" right="0.43307086614173229" top="0.51181102362204722" bottom="0.86614173228346458" header="0.27559055118110237" footer="0.51181102362204722"/>
  <pageSetup paperSize="9" scale="86" orientation="portrait" horizontalDpi="4294967293" r:id="rId1"/>
  <headerFooter alignWithMargins="0">
    <oddHeader xml:space="preserve">&amp;R&amp;"Arial,Gras"&amp;14   </oddHeader>
  </headerFooter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F19"/>
  <sheetViews>
    <sheetView tabSelected="1" topLeftCell="A4" workbookViewId="0">
      <selection activeCell="G12" sqref="G12"/>
    </sheetView>
  </sheetViews>
  <sheetFormatPr baseColWidth="10" defaultColWidth="8.77734375" defaultRowHeight="15.6" x14ac:dyDescent="0.3"/>
  <cols>
    <col min="1" max="1" width="24.5546875" style="15" customWidth="1"/>
    <col min="2" max="2" width="34" style="15" customWidth="1"/>
    <col min="3" max="3" width="11.5546875" style="15" customWidth="1"/>
    <col min="4" max="4" width="16.44140625" style="176" customWidth="1"/>
    <col min="5" max="5" width="13.44140625" style="16" customWidth="1"/>
    <col min="6" max="256" width="11.44140625" customWidth="1"/>
  </cols>
  <sheetData>
    <row r="1" spans="1:6" s="61" customFormat="1" x14ac:dyDescent="0.3">
      <c r="A1" s="96"/>
      <c r="B1" s="96"/>
      <c r="C1" s="96"/>
      <c r="D1" s="164"/>
      <c r="E1" s="27"/>
    </row>
    <row r="2" spans="1:6" s="55" customFormat="1" ht="90.75" customHeight="1" x14ac:dyDescent="0.25">
      <c r="D2" s="164"/>
      <c r="E2" s="145"/>
      <c r="F2" s="145"/>
    </row>
    <row r="3" spans="1:6" s="55" customFormat="1" ht="25.5" customHeight="1" x14ac:dyDescent="0.25">
      <c r="A3" s="36" t="s">
        <v>79</v>
      </c>
      <c r="B3" s="58" t="str">
        <f>saison</f>
        <v>2021 - 2022</v>
      </c>
      <c r="C3" s="59"/>
      <c r="D3" s="164"/>
    </row>
    <row r="4" spans="1:6" s="55" customFormat="1" ht="21" customHeight="1" x14ac:dyDescent="0.25">
      <c r="A4" s="36" t="s">
        <v>82</v>
      </c>
      <c r="B4" s="58" t="str">
        <f>date</f>
        <v>12 et 13 mars 2022</v>
      </c>
      <c r="C4" s="59"/>
      <c r="D4" s="164"/>
    </row>
    <row r="5" spans="1:6" s="61" customFormat="1" x14ac:dyDescent="0.3">
      <c r="A5" s="96"/>
      <c r="B5" s="96"/>
      <c r="C5" s="96"/>
      <c r="D5" s="164"/>
      <c r="E5" s="27"/>
    </row>
    <row r="6" spans="1:6" s="61" customFormat="1" ht="17.399999999999999" x14ac:dyDescent="0.25">
      <c r="A6" s="36" t="s">
        <v>80</v>
      </c>
      <c r="B6" s="58" t="str">
        <f>lieu</f>
        <v>Le Puy en Velay</v>
      </c>
      <c r="C6" s="62"/>
      <c r="D6" s="171"/>
    </row>
    <row r="7" spans="1:6" s="61" customFormat="1" ht="17.399999999999999" x14ac:dyDescent="0.25">
      <c r="A7" s="36" t="s">
        <v>83</v>
      </c>
      <c r="B7" s="58" t="str">
        <f>catégorie</f>
        <v>Division 1 Masculine manche 2</v>
      </c>
      <c r="C7" s="59"/>
      <c r="D7" s="171"/>
    </row>
    <row r="8" spans="1:6" x14ac:dyDescent="0.3">
      <c r="A8" s="128"/>
      <c r="B8" s="128"/>
      <c r="C8" s="128"/>
      <c r="D8" s="172"/>
      <c r="E8" s="129"/>
    </row>
    <row r="9" spans="1:6" ht="31.2" customHeight="1" x14ac:dyDescent="0.3">
      <c r="A9" s="122"/>
      <c r="B9" s="122"/>
      <c r="C9" s="122"/>
      <c r="D9" s="173" t="s">
        <v>190</v>
      </c>
      <c r="E9" s="29"/>
    </row>
    <row r="10" spans="1:6" ht="25.05" customHeight="1" x14ac:dyDescent="0.25">
      <c r="A10" s="122"/>
      <c r="B10" s="142" t="str">
        <f>Gagnant(poules!M49:Q50)</f>
        <v>Clamart</v>
      </c>
      <c r="C10" s="93">
        <v>1</v>
      </c>
      <c r="D10" s="174" t="s">
        <v>192</v>
      </c>
      <c r="E10" s="220" t="s">
        <v>196</v>
      </c>
    </row>
    <row r="11" spans="1:6" ht="25.05" customHeight="1" x14ac:dyDescent="0.25">
      <c r="A11" s="122"/>
      <c r="B11" s="165" t="str">
        <f>Perdant(poules!M49:Q50)</f>
        <v>Nantes</v>
      </c>
      <c r="C11" s="93">
        <v>2</v>
      </c>
      <c r="D11" s="174" t="s">
        <v>193</v>
      </c>
      <c r="E11" s="221"/>
    </row>
    <row r="12" spans="1:6" ht="25.05" customHeight="1" x14ac:dyDescent="0.25">
      <c r="A12" s="122"/>
      <c r="B12" s="165" t="str">
        <f>Gagnant(poules!E49:I50)</f>
        <v>Le Puy en Velay</v>
      </c>
      <c r="C12" s="94">
        <v>3</v>
      </c>
      <c r="D12" s="174" t="s">
        <v>194</v>
      </c>
      <c r="E12" s="221"/>
    </row>
    <row r="13" spans="1:6" ht="25.05" customHeight="1" x14ac:dyDescent="0.25">
      <c r="A13" s="122"/>
      <c r="B13" s="166" t="str">
        <f>Perdant(poules!E49:I50)</f>
        <v>HOPE</v>
      </c>
      <c r="C13" s="93">
        <v>4</v>
      </c>
      <c r="D13" s="174" t="s">
        <v>192</v>
      </c>
      <c r="E13" s="221"/>
    </row>
    <row r="14" spans="1:6" ht="25.05" customHeight="1" x14ac:dyDescent="0.25">
      <c r="A14" s="122"/>
      <c r="B14" s="165" t="str">
        <f>Gagnant(poules!P45:T46)</f>
        <v>Clermont Ferrand</v>
      </c>
      <c r="C14" s="93">
        <v>5</v>
      </c>
      <c r="D14" s="174" t="s">
        <v>194</v>
      </c>
      <c r="E14" s="221"/>
    </row>
    <row r="15" spans="1:6" ht="25.05" customHeight="1" x14ac:dyDescent="0.25">
      <c r="A15" s="122"/>
      <c r="B15" s="166" t="str">
        <f>Perdant(poules!P45:T46)</f>
        <v>Morlaix</v>
      </c>
      <c r="C15" s="93">
        <v>6</v>
      </c>
      <c r="D15" s="174" t="s">
        <v>193</v>
      </c>
      <c r="E15" s="222"/>
    </row>
    <row r="16" spans="1:6" ht="25.05" customHeight="1" x14ac:dyDescent="0.25">
      <c r="A16" s="122"/>
      <c r="B16" s="165" t="str">
        <f>Gagnant(poules!H45:L46)</f>
        <v>Neuilly sur Marne</v>
      </c>
      <c r="C16" s="93">
        <v>7</v>
      </c>
      <c r="D16" s="175" t="s">
        <v>192</v>
      </c>
      <c r="E16" s="217" t="s">
        <v>191</v>
      </c>
    </row>
    <row r="17" spans="2:5" ht="25.05" customHeight="1" x14ac:dyDescent="0.25">
      <c r="B17" s="166" t="str">
        <f>Perdant(poules!H45:L46)</f>
        <v>Lille</v>
      </c>
      <c r="C17" s="93">
        <v>8</v>
      </c>
      <c r="D17" s="175" t="s">
        <v>195</v>
      </c>
      <c r="E17" s="218"/>
    </row>
    <row r="18" spans="2:5" ht="25.05" customHeight="1" x14ac:dyDescent="0.25">
      <c r="B18" s="165" t="str">
        <f>Gagnant(poules!C45:D46)</f>
        <v>Ermont</v>
      </c>
      <c r="C18" s="93">
        <v>9</v>
      </c>
      <c r="D18" s="175" t="s">
        <v>192</v>
      </c>
      <c r="E18" s="218"/>
    </row>
    <row r="19" spans="2:5" ht="25.05" customHeight="1" thickBot="1" x14ac:dyDescent="0.3">
      <c r="B19" s="167" t="str">
        <f>Perdant(poules!C45:D46)</f>
        <v>Lagny</v>
      </c>
      <c r="C19" s="95">
        <v>10</v>
      </c>
      <c r="D19" s="175" t="s">
        <v>192</v>
      </c>
      <c r="E19" s="219"/>
    </row>
  </sheetData>
  <mergeCells count="2">
    <mergeCell ref="E16:E19"/>
    <mergeCell ref="E10:E15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L29"/>
  <sheetViews>
    <sheetView topLeftCell="B1" workbookViewId="0">
      <selection activeCell="L9" sqref="L9"/>
    </sheetView>
  </sheetViews>
  <sheetFormatPr baseColWidth="10" defaultColWidth="11.44140625" defaultRowHeight="13.2" x14ac:dyDescent="0.25"/>
  <cols>
    <col min="1" max="1" width="17.21875" style="118" customWidth="1"/>
    <col min="2" max="2" width="19.77734375" style="52" customWidth="1"/>
    <col min="3" max="3" width="17.77734375" style="52" customWidth="1"/>
    <col min="4" max="4" width="20.77734375" style="118" bestFit="1" customWidth="1"/>
    <col min="5" max="6" width="12.77734375" style="52" customWidth="1"/>
    <col min="7" max="7" width="11.21875" style="76" customWidth="1"/>
    <col min="8" max="10" width="11.44140625" style="76"/>
    <col min="11" max="16384" width="11.44140625" style="52"/>
  </cols>
  <sheetData>
    <row r="1" spans="1:12" x14ac:dyDescent="0.25">
      <c r="A1" s="116" t="s">
        <v>52</v>
      </c>
      <c r="B1" s="74" t="s">
        <v>153</v>
      </c>
      <c r="C1" s="74" t="s">
        <v>154</v>
      </c>
      <c r="D1" s="116" t="s">
        <v>155</v>
      </c>
      <c r="E1" s="75" t="s">
        <v>156</v>
      </c>
      <c r="F1" s="75" t="s">
        <v>157</v>
      </c>
      <c r="G1" s="75" t="s">
        <v>158</v>
      </c>
      <c r="H1" s="77" t="s">
        <v>159</v>
      </c>
      <c r="I1" s="77" t="s">
        <v>160</v>
      </c>
      <c r="J1" s="77" t="s">
        <v>161</v>
      </c>
      <c r="K1" s="117" t="s">
        <v>162</v>
      </c>
    </row>
    <row r="2" spans="1:12" x14ac:dyDescent="0.25">
      <c r="A2" s="118" t="s">
        <v>73</v>
      </c>
      <c r="D2" s="118" t="s">
        <v>184</v>
      </c>
      <c r="E2" s="76">
        <f>COUNTIF(grille!M$9:M$46,$D2)</f>
        <v>2</v>
      </c>
      <c r="F2" s="76">
        <f>COUNTIF(grille!N$9:O$46,$D2)</f>
        <v>5</v>
      </c>
      <c r="G2" s="76">
        <v>1</v>
      </c>
      <c r="H2" s="76">
        <v>1</v>
      </c>
      <c r="I2" s="76">
        <v>1</v>
      </c>
      <c r="J2" s="76">
        <v>1</v>
      </c>
      <c r="K2" s="52" t="s">
        <v>163</v>
      </c>
      <c r="L2" s="52">
        <f>SUM(E2:F2)</f>
        <v>7</v>
      </c>
    </row>
    <row r="3" spans="1:12" x14ac:dyDescent="0.25">
      <c r="A3" s="118" t="s">
        <v>67</v>
      </c>
      <c r="D3" s="118" t="s">
        <v>182</v>
      </c>
      <c r="E3" s="76">
        <f>COUNTIF(grille!M$9:M$46,$D3)</f>
        <v>3</v>
      </c>
      <c r="F3" s="76">
        <f>COUNTIF(grille!N$9:O$46,$D3)</f>
        <v>3</v>
      </c>
      <c r="G3" s="76">
        <v>1</v>
      </c>
      <c r="H3" s="76">
        <v>1</v>
      </c>
      <c r="I3" s="76">
        <v>0</v>
      </c>
      <c r="J3" s="76">
        <v>1</v>
      </c>
      <c r="K3" s="52" t="s">
        <v>164</v>
      </c>
      <c r="L3" s="52">
        <f t="shared" ref="L3:L9" si="0">SUM(E3:F3)</f>
        <v>6</v>
      </c>
    </row>
    <row r="4" spans="1:12" x14ac:dyDescent="0.25">
      <c r="A4" s="118" t="s">
        <v>70</v>
      </c>
      <c r="D4" s="118" t="s">
        <v>185</v>
      </c>
      <c r="E4" s="76">
        <f>COUNTIF(grille!M$9:M$46,$D4)</f>
        <v>2</v>
      </c>
      <c r="F4" s="76">
        <f>COUNTIF(grille!N$9:O$46,$D4)</f>
        <v>3</v>
      </c>
      <c r="G4" s="76">
        <v>1</v>
      </c>
      <c r="H4" s="76">
        <v>0</v>
      </c>
      <c r="I4" s="76">
        <v>0</v>
      </c>
      <c r="J4" s="76">
        <v>1</v>
      </c>
      <c r="K4" s="52" t="s">
        <v>165</v>
      </c>
      <c r="L4" s="52">
        <f t="shared" si="0"/>
        <v>5</v>
      </c>
    </row>
    <row r="5" spans="1:12" x14ac:dyDescent="0.25">
      <c r="A5" s="118" t="s">
        <v>75</v>
      </c>
      <c r="D5" s="118" t="s">
        <v>186</v>
      </c>
      <c r="E5" s="76">
        <f>COUNTIF(grille!M$9:M$46,$D5)</f>
        <v>2</v>
      </c>
      <c r="F5" s="76">
        <f>COUNTIF(grille!N$9:O$46,$D5)</f>
        <v>4</v>
      </c>
      <c r="G5" s="76">
        <v>1</v>
      </c>
      <c r="H5" s="76">
        <v>0</v>
      </c>
      <c r="I5" s="76">
        <v>0</v>
      </c>
      <c r="J5" s="76">
        <v>1</v>
      </c>
      <c r="K5" s="52" t="s">
        <v>166</v>
      </c>
      <c r="L5" s="52">
        <f t="shared" si="0"/>
        <v>6</v>
      </c>
    </row>
    <row r="6" spans="1:12" x14ac:dyDescent="0.25">
      <c r="A6" s="118" t="s">
        <v>64</v>
      </c>
      <c r="D6" s="118" t="s">
        <v>187</v>
      </c>
      <c r="E6" s="76">
        <f>COUNTIF(grille!M$9:M$46,$D6)</f>
        <v>0</v>
      </c>
      <c r="F6" s="76">
        <f>COUNTIF(grille!N$9:O$46,$D6)</f>
        <v>5</v>
      </c>
      <c r="G6" s="76">
        <v>1</v>
      </c>
      <c r="H6" s="76">
        <v>0</v>
      </c>
      <c r="I6" s="76">
        <v>0</v>
      </c>
      <c r="J6" s="76">
        <v>1</v>
      </c>
      <c r="K6" s="52" t="s">
        <v>167</v>
      </c>
      <c r="L6" s="52">
        <f t="shared" si="0"/>
        <v>5</v>
      </c>
    </row>
    <row r="7" spans="1:12" x14ac:dyDescent="0.25">
      <c r="A7" s="118" t="s">
        <v>55</v>
      </c>
      <c r="D7" s="118" t="s">
        <v>180</v>
      </c>
      <c r="E7" s="76">
        <f>COUNTIF(grille!M$9:M$46,$D7)</f>
        <v>2</v>
      </c>
      <c r="F7" s="76">
        <f>COUNTIF(grille!N$9:O$46,$D7)</f>
        <v>4</v>
      </c>
      <c r="G7" s="76">
        <v>7</v>
      </c>
      <c r="H7" s="76">
        <v>3</v>
      </c>
      <c r="I7" s="76">
        <v>0</v>
      </c>
      <c r="J7" s="76">
        <v>1</v>
      </c>
      <c r="K7" s="52" t="s">
        <v>168</v>
      </c>
      <c r="L7" s="52">
        <f t="shared" si="0"/>
        <v>6</v>
      </c>
    </row>
    <row r="8" spans="1:12" x14ac:dyDescent="0.25">
      <c r="A8" s="118" t="s">
        <v>58</v>
      </c>
      <c r="D8" s="118" t="s">
        <v>181</v>
      </c>
      <c r="E8" s="76">
        <f>COUNTIF(grille!M$9:M$46,$D8)</f>
        <v>2</v>
      </c>
      <c r="F8" s="76">
        <f>COUNTIF(grille!N$9:O$46,$D8)</f>
        <v>3</v>
      </c>
      <c r="G8" s="76">
        <v>7</v>
      </c>
      <c r="H8" s="76">
        <v>2</v>
      </c>
      <c r="I8" s="76">
        <v>0</v>
      </c>
      <c r="J8" s="76">
        <v>1</v>
      </c>
      <c r="K8" s="52" t="s">
        <v>169</v>
      </c>
      <c r="L8" s="52">
        <v>6</v>
      </c>
    </row>
    <row r="9" spans="1:12" x14ac:dyDescent="0.25">
      <c r="A9" s="118" t="s">
        <v>61</v>
      </c>
      <c r="D9" s="118" t="s">
        <v>188</v>
      </c>
      <c r="E9" s="76">
        <f>COUNTIF(grille!M$9:M$46,$D9)</f>
        <v>2</v>
      </c>
      <c r="F9" s="76">
        <f>COUNTIF(grille!N$9:O$46,$D9)</f>
        <v>3</v>
      </c>
      <c r="G9" s="76">
        <v>7</v>
      </c>
      <c r="H9" s="76">
        <v>2</v>
      </c>
      <c r="I9" s="76">
        <v>1</v>
      </c>
      <c r="J9" s="76">
        <v>1</v>
      </c>
      <c r="K9" s="52" t="s">
        <v>170</v>
      </c>
      <c r="L9" s="52">
        <f t="shared" si="0"/>
        <v>5</v>
      </c>
    </row>
    <row r="10" spans="1:12" x14ac:dyDescent="0.25">
      <c r="A10" s="118" t="s">
        <v>78</v>
      </c>
      <c r="E10" s="76">
        <f>COUNTIF(grille!M$9:M$46,$D10)</f>
        <v>0</v>
      </c>
      <c r="F10" s="76">
        <f>COUNTIF(grille!N$9:O$46,$D10)</f>
        <v>0</v>
      </c>
      <c r="G10" s="76">
        <v>7</v>
      </c>
      <c r="H10" s="76">
        <v>1</v>
      </c>
      <c r="I10" s="76">
        <v>1</v>
      </c>
      <c r="J10" s="76">
        <v>1</v>
      </c>
      <c r="K10" s="52" t="s">
        <v>171</v>
      </c>
    </row>
    <row r="11" spans="1:12" x14ac:dyDescent="0.25">
      <c r="E11" s="76"/>
      <c r="F11" s="76"/>
    </row>
    <row r="12" spans="1:12" x14ac:dyDescent="0.25">
      <c r="E12" s="76"/>
      <c r="F12" s="76"/>
    </row>
    <row r="13" spans="1:12" x14ac:dyDescent="0.25">
      <c r="E13" s="76"/>
      <c r="F13" s="76"/>
    </row>
    <row r="14" spans="1:12" x14ac:dyDescent="0.25">
      <c r="E14" s="76"/>
      <c r="F14" s="76"/>
    </row>
    <row r="15" spans="1:12" x14ac:dyDescent="0.25">
      <c r="E15" s="76"/>
      <c r="F15" s="76"/>
    </row>
    <row r="16" spans="1:12" x14ac:dyDescent="0.25">
      <c r="E16" s="76"/>
      <c r="F16" s="76"/>
    </row>
    <row r="17" spans="5:6" x14ac:dyDescent="0.25">
      <c r="E17" s="76"/>
      <c r="F17" s="76"/>
    </row>
    <row r="18" spans="5:6" x14ac:dyDescent="0.25">
      <c r="E18" s="76"/>
      <c r="F18" s="76"/>
    </row>
    <row r="19" spans="5:6" x14ac:dyDescent="0.25">
      <c r="E19" s="76"/>
      <c r="F19" s="76"/>
    </row>
    <row r="20" spans="5:6" x14ac:dyDescent="0.25">
      <c r="E20" s="76"/>
      <c r="F20" s="76"/>
    </row>
    <row r="21" spans="5:6" x14ac:dyDescent="0.25">
      <c r="E21" s="76"/>
      <c r="F21" s="76"/>
    </row>
    <row r="22" spans="5:6" x14ac:dyDescent="0.25">
      <c r="E22" s="76"/>
      <c r="F22" s="76"/>
    </row>
    <row r="23" spans="5:6" x14ac:dyDescent="0.25">
      <c r="E23" s="76"/>
      <c r="F23" s="76"/>
    </row>
    <row r="24" spans="5:6" x14ac:dyDescent="0.25">
      <c r="E24" s="76"/>
      <c r="F24" s="76"/>
    </row>
    <row r="25" spans="5:6" x14ac:dyDescent="0.25">
      <c r="E25" s="76"/>
      <c r="F25" s="76"/>
    </row>
    <row r="26" spans="5:6" x14ac:dyDescent="0.25">
      <c r="E26" s="76"/>
      <c r="F26" s="76"/>
    </row>
    <row r="27" spans="5:6" x14ac:dyDescent="0.25">
      <c r="E27" s="76"/>
      <c r="F27" s="76"/>
    </row>
    <row r="28" spans="5:6" x14ac:dyDescent="0.25">
      <c r="E28" s="76"/>
      <c r="F28" s="76"/>
    </row>
    <row r="29" spans="5:6" x14ac:dyDescent="0.25">
      <c r="E29" s="76"/>
      <c r="F29" s="76"/>
    </row>
  </sheetData>
  <phoneticPr fontId="23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35</vt:i4>
      </vt:variant>
    </vt:vector>
  </HeadingPairs>
  <TitlesOfParts>
    <vt:vector size="40" baseType="lpstr">
      <vt:lpstr>Fiche de renseignements compéti</vt:lpstr>
      <vt:lpstr>grille</vt:lpstr>
      <vt:lpstr>poules</vt:lpstr>
      <vt:lpstr>Classement</vt:lpstr>
      <vt:lpstr>Arbitres</vt:lpstr>
      <vt:lpstr>_PA1</vt:lpstr>
      <vt:lpstr>_PA3</vt:lpstr>
      <vt:lpstr>_PA5</vt:lpstr>
      <vt:lpstr>_PA7</vt:lpstr>
      <vt:lpstr>_PA9</vt:lpstr>
      <vt:lpstr>_PB10</vt:lpstr>
      <vt:lpstr>_PB2</vt:lpstr>
      <vt:lpstr>_PB4</vt:lpstr>
      <vt:lpstr>_PB6</vt:lpstr>
      <vt:lpstr>_PB8</vt:lpstr>
      <vt:lpstr>Aquatique</vt:lpstr>
      <vt:lpstr>catégorie</vt:lpstr>
      <vt:lpstr>date</vt:lpstr>
      <vt:lpstr>durée1</vt:lpstr>
      <vt:lpstr>durée2</vt:lpstr>
      <vt:lpstr>edurée1</vt:lpstr>
      <vt:lpstr>edurée2</vt:lpstr>
      <vt:lpstr>HoraireMatchJ1</vt:lpstr>
      <vt:lpstr>HoraireMatchJ2</vt:lpstr>
      <vt:lpstr>grille!Impression_des_titres</vt:lpstr>
      <vt:lpstr>lieu</vt:lpstr>
      <vt:lpstr>NombreMatchsPauseRepas</vt:lpstr>
      <vt:lpstr>P1A</vt:lpstr>
      <vt:lpstr>P1B</vt:lpstr>
      <vt:lpstr>P2A</vt:lpstr>
      <vt:lpstr>P2B</vt:lpstr>
      <vt:lpstr>P3A</vt:lpstr>
      <vt:lpstr>P3B</vt:lpstr>
      <vt:lpstr>P4A</vt:lpstr>
      <vt:lpstr>P4B</vt:lpstr>
      <vt:lpstr>P5A</vt:lpstr>
      <vt:lpstr>P5B</vt:lpstr>
      <vt:lpstr>Principal</vt:lpstr>
      <vt:lpstr>saison</vt:lpstr>
      <vt:lpstr>grille!Zone_d_impression</vt:lpstr>
    </vt:vector>
  </TitlesOfParts>
  <Manager/>
  <Company>FFESSM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CNHS</dc:creator>
  <cp:keywords/>
  <dc:description/>
  <cp:lastModifiedBy>CNC CNHS</cp:lastModifiedBy>
  <cp:revision/>
  <cp:lastPrinted>2022-03-13T15:16:38Z</cp:lastPrinted>
  <dcterms:created xsi:type="dcterms:W3CDTF">1997-11-08T13:41:57Z</dcterms:created>
  <dcterms:modified xsi:type="dcterms:W3CDTF">2022-03-20T10:22:43Z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